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I:\Coronapuljer_Arbejdsmappe\B H J - Fælles (faste, løn, produktion og konkurs)\B - SEKU KOKU Faste omkostninger\Afrapporteringsmodeller\"/>
    </mc:Choice>
  </mc:AlternateContent>
  <workbookProtection workbookAlgorithmName="SHA-512" workbookHashValue="qdVOkN5fVEpQ/SPLBa9H2vevAcNvUrTpoSWohBW8Ma2GHSC8OOXOOvMdxyufVBNOxJA6S/uZRgXetvnwBfeArg==" workbookSaltValue="GZkR6cdY6muuBhvNRCiKUg==" workbookSpinCount="100000" lockStructure="1"/>
  <bookViews>
    <workbookView xWindow="0" yWindow="0" windowWidth="11490" windowHeight="6750"/>
  </bookViews>
  <sheets>
    <sheet name="Afrapportering" sheetId="1" r:id="rId1"/>
    <sheet name="Lister" sheetId="2" state="hidden" r:id="rId2"/>
    <sheet name="Trappemodel" sheetId="3" state="hidden" r:id="rId3"/>
  </sheets>
  <definedNames>
    <definedName name="b_faste_start">Lister!$T$2:$T$100</definedName>
    <definedName name="c_oms_slut">Lister!$K$2:$K$924</definedName>
    <definedName name="c_oms_start">Lister!$J$2:$J$553</definedName>
    <definedName name="d_faste_start">Lister!$U$2:$U$734</definedName>
    <definedName name="d_oms_start">Lister!$L$2:$L$117</definedName>
    <definedName name="e_faste_start">Lister!$V$2:$V$8</definedName>
    <definedName name="FastholdeUdbetaling">Lister!$C$8:$C$10</definedName>
    <definedName name="JaNej">Lister!$C$8:$C$10</definedName>
    <definedName name="KompPeriodeSlut">Lister!$E$13:$E$18</definedName>
    <definedName name="KompPeriodeStart">Lister!$D$13:$D$18</definedName>
    <definedName name="matrix_indirekte_faste_ref">Lister!$M$10:$O$18</definedName>
    <definedName name="matrix_komp.perioder">Lister!$C$13:$H$21</definedName>
    <definedName name="Matrix_Ref.Rea.FasteOmkostninger">Lister!$M$2:$S$6</definedName>
    <definedName name="Matrix_Ref.Rea.Omsætning">Lister!$C$2:$I$6</definedName>
    <definedName name="Matrix_UnderskudFør">Lister!$W$7:$X$11</definedName>
    <definedName name="Mulige_komp.perioder">Lister!$C$13:$C$21</definedName>
    <definedName name="NegativtResultat">Lister!$W$2:$W$4</definedName>
    <definedName name="OpgørelseAfSenesteResultat">Lister!$W$7:$W$11</definedName>
    <definedName name="PeriodeNegativtResultat">Lister!$W$7:$W$11</definedName>
    <definedName name="ReferenceperiodeRealiseretOmsætning">Lister!$C$2:$C$6</definedName>
    <definedName name="Refperiode_Fasteomkostninger">Lister!$M$2:$M$6</definedName>
    <definedName name="Trappemodel1">Trappemodel!$A$3:$C$13</definedName>
    <definedName name="Trappemodel1forbud">Trappemodel!$A$3:$C$14</definedName>
    <definedName name="ÅbningsforbudFørsteDag">Lister!$A$2:$A$65</definedName>
    <definedName name="ÅbningsforbudSidsteDag">Lister!$B$2:$B$64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114" i="1" l="1"/>
  <c r="A17" i="1" l="1"/>
  <c r="B11" i="1" l="1"/>
  <c r="A92" i="1" l="1"/>
  <c r="Q7" i="2" l="1"/>
  <c r="M7" i="2" s="1"/>
  <c r="O7" i="2"/>
  <c r="Q6" i="2"/>
  <c r="Q5" i="2"/>
  <c r="O6" i="2"/>
  <c r="M6" i="2"/>
  <c r="P7" i="2"/>
  <c r="R6" i="2"/>
  <c r="P6" i="2"/>
  <c r="O5" i="2"/>
  <c r="N5" i="2"/>
  <c r="E6" i="2"/>
  <c r="H6" i="2" l="1"/>
  <c r="F6" i="2"/>
  <c r="C6" i="2"/>
  <c r="H5" i="2"/>
  <c r="G5" i="2"/>
  <c r="F5" i="2"/>
  <c r="H4" i="2"/>
  <c r="E4" i="2"/>
  <c r="D4" i="2"/>
  <c r="I3" i="2"/>
  <c r="E3" i="2"/>
  <c r="D3" i="2"/>
  <c r="I2" i="2"/>
  <c r="H2" i="2"/>
  <c r="G2" i="2"/>
  <c r="F2" i="2"/>
  <c r="E2" i="2"/>
  <c r="D2" i="2"/>
  <c r="H18" i="2"/>
  <c r="H19" i="2"/>
  <c r="H20" i="2"/>
  <c r="H21" i="2"/>
  <c r="O10" i="2" l="1"/>
  <c r="N10" i="2"/>
  <c r="P5" i="2" s="1"/>
  <c r="R5" i="2" l="1"/>
  <c r="M5" i="2"/>
  <c r="D13" i="2"/>
  <c r="G6" i="2" s="1"/>
  <c r="E13" i="2"/>
  <c r="F13" i="2"/>
  <c r="F3" i="2" s="1"/>
  <c r="G13" i="2"/>
  <c r="G3" i="2" s="1"/>
  <c r="H13" i="2"/>
  <c r="H14" i="2"/>
  <c r="H15" i="2"/>
  <c r="H16" i="2"/>
  <c r="H17" i="2"/>
  <c r="H3" i="2" l="1"/>
  <c r="I6" i="2"/>
  <c r="C3" i="2"/>
  <c r="I5" i="2"/>
  <c r="I4" i="2"/>
  <c r="R4" i="2"/>
  <c r="P4" i="2"/>
  <c r="O4" i="2"/>
  <c r="S3" i="2"/>
  <c r="R3" i="2"/>
  <c r="O3" i="2"/>
  <c r="N3" i="2"/>
  <c r="S2" i="2"/>
  <c r="R2" i="2"/>
  <c r="Q2" i="2"/>
  <c r="P2" i="2"/>
  <c r="O2" i="2"/>
  <c r="N2" i="2"/>
  <c r="B99" i="1" l="1"/>
  <c r="A16" i="1" l="1"/>
  <c r="A37" i="1" l="1"/>
  <c r="A22" i="1"/>
  <c r="X7" i="2" l="1"/>
  <c r="B67" i="1" l="1"/>
  <c r="A66" i="1" l="1"/>
  <c r="B71" i="1"/>
  <c r="A72" i="1" s="1"/>
  <c r="B73" i="1"/>
  <c r="B68" i="1"/>
  <c r="B28" i="1"/>
  <c r="B100" i="1" l="1"/>
  <c r="B42" i="1"/>
  <c r="B43" i="1"/>
  <c r="B54" i="1" l="1"/>
  <c r="A30" i="1" l="1"/>
  <c r="B16" i="1" l="1"/>
  <c r="B17" i="1" l="1"/>
  <c r="A57" i="1" l="1"/>
  <c r="B75" i="1"/>
  <c r="A49" i="1"/>
  <c r="A48" i="1"/>
  <c r="A69" i="1"/>
  <c r="A78" i="1" l="1"/>
  <c r="B27" i="1"/>
  <c r="B39" i="1" l="1"/>
  <c r="B44" i="1"/>
  <c r="B38" i="1"/>
  <c r="B29" i="1" l="1"/>
  <c r="B32" i="1" s="1"/>
  <c r="B51" i="1" s="1"/>
  <c r="B52" i="1" l="1"/>
  <c r="B74" i="1" s="1"/>
  <c r="A53" i="1"/>
  <c r="B24" i="1"/>
  <c r="B23" i="1"/>
  <c r="B80" i="1" l="1"/>
  <c r="B77" i="1"/>
  <c r="A79" i="1" s="1"/>
  <c r="B76" i="1"/>
  <c r="B81" i="1" l="1"/>
  <c r="B82" i="1"/>
  <c r="B95" i="1"/>
  <c r="B108" i="1" s="1"/>
  <c r="B116" i="1"/>
  <c r="B107" i="1"/>
  <c r="B96" i="1" l="1"/>
  <c r="A97" i="1" s="1"/>
  <c r="A118" i="1"/>
  <c r="B117" i="1"/>
  <c r="B109" i="1"/>
  <c r="B101" i="1"/>
  <c r="B102" i="1" s="1"/>
  <c r="B103" i="1" s="1"/>
  <c r="B104" i="1" s="1"/>
  <c r="A120" i="1" l="1"/>
  <c r="A119" i="1"/>
  <c r="B105" i="1"/>
  <c r="B106" i="1"/>
</calcChain>
</file>

<file path=xl/comments1.xml><?xml version="1.0" encoding="utf-8"?>
<comments xmlns="http://schemas.openxmlformats.org/spreadsheetml/2006/main">
  <authors>
    <author>Kenneth Fisher Fremlev</author>
  </authors>
  <commentList>
    <comment ref="H1" authorId="0" shapeId="0">
      <text>
        <r>
          <rPr>
            <b/>
            <sz val="9"/>
            <color indexed="81"/>
            <rFont val="Tahoma"/>
            <family val="2"/>
          </rPr>
          <t>Kenneth Fisher Fremlev:</t>
        </r>
        <r>
          <rPr>
            <sz val="9"/>
            <color indexed="81"/>
            <rFont val="Tahoma"/>
            <family val="2"/>
          </rPr>
          <t xml:space="preserve">
30 dage = 0,0805556
3 måneder = 0,24722222
1 år = 1</t>
        </r>
      </text>
    </comment>
    <comment ref="R1" authorId="0" shapeId="0">
      <text>
        <r>
          <rPr>
            <b/>
            <sz val="9"/>
            <color indexed="81"/>
            <rFont val="Tahoma"/>
            <family val="2"/>
          </rPr>
          <t>Kenneth Fisher Fremlev:</t>
        </r>
        <r>
          <rPr>
            <sz val="9"/>
            <color indexed="81"/>
            <rFont val="Tahoma"/>
            <family val="2"/>
          </rPr>
          <t xml:space="preserve">
3 måneder: 0,247222222
30 dage: 0,080555556</t>
        </r>
      </text>
    </comment>
  </commentList>
</comments>
</file>

<file path=xl/sharedStrings.xml><?xml version="1.0" encoding="utf-8"?>
<sst xmlns="http://schemas.openxmlformats.org/spreadsheetml/2006/main" count="223" uniqueCount="147">
  <si>
    <r>
      <t xml:space="preserve">Alle hvide felter i kolonne B </t>
    </r>
    <r>
      <rPr>
        <u/>
        <sz val="11"/>
        <color theme="1"/>
        <rFont val="Calibri"/>
        <family val="2"/>
        <scheme val="minor"/>
      </rPr>
      <t>skal</t>
    </r>
    <r>
      <rPr>
        <sz val="11"/>
        <color theme="1"/>
        <rFont val="Calibri"/>
        <family val="2"/>
        <scheme val="minor"/>
      </rPr>
      <t xml:space="preserve"> udfyldes. Hvis beløbet er 0, oplyses dette. De grå felter beregnes automatisk.
Enkelte grå felter kan skifte til hvid undervejs afhængig af de indtastede oplysninger; disse skal i så fald udfyldes.</t>
    </r>
  </si>
  <si>
    <t>Institutionsnavn</t>
  </si>
  <si>
    <t>CVR-nr.</t>
  </si>
  <si>
    <t>Kompensationsperiode start</t>
  </si>
  <si>
    <t>Kompensationsperiode slut</t>
  </si>
  <si>
    <t>Vælg/Indtast</t>
  </si>
  <si>
    <t>Indtast beløb</t>
  </si>
  <si>
    <t>Vælg referenceperiode for realiserede faste omkostninger</t>
  </si>
  <si>
    <t>Husleje</t>
  </si>
  <si>
    <t>Leje- og leasingomkostninger</t>
  </si>
  <si>
    <t>Vedligeholdelse af materielle anlægsaktiver og lejede/leasede aktiver</t>
  </si>
  <si>
    <t>Omkostninger til el og opvarmning</t>
  </si>
  <si>
    <t>Ejendomskatter</t>
  </si>
  <si>
    <t>Rengøring</t>
  </si>
  <si>
    <t>Afskrivninger af materielle og immaterielle anlægsaktiver</t>
  </si>
  <si>
    <t>Øvrige realiserede faste omkostninger</t>
  </si>
  <si>
    <t>Revisorudgifter ekskl. moms</t>
  </si>
  <si>
    <t>Godtgørelse af revisorudgifter</t>
  </si>
  <si>
    <t>Referenceperiode realiseret omsætning</t>
  </si>
  <si>
    <t>Referenceperiode faste omkostninger</t>
  </si>
  <si>
    <t>Kompensationssats</t>
  </si>
  <si>
    <t>Kommerciel omsætnings andel af samlet omsætning</t>
  </si>
  <si>
    <t>Negativt resultat</t>
  </si>
  <si>
    <t>Ja</t>
  </si>
  <si>
    <t>Nej</t>
  </si>
  <si>
    <t>Periode for negativt resultat</t>
  </si>
  <si>
    <t>Første dag med åbningsforbud</t>
  </si>
  <si>
    <t>Sidste dag med åbningsforbud</t>
  </si>
  <si>
    <t>Intet åbningsforbud</t>
  </si>
  <si>
    <t>Slots- og Kulturstyrelsen vurderer, at det seneste resultat skyldes ekstraordinære omstændigheder</t>
  </si>
  <si>
    <t>Er referenceperioden opgjort for minimumslængden?</t>
  </si>
  <si>
    <t>Referenceperiode start</t>
  </si>
  <si>
    <t>Referenceperiode slut</t>
  </si>
  <si>
    <t xml:space="preserve">Forholdsmæssig beregning af foreløbigt kompensationsbeløb for periode med åbningsforbud </t>
  </si>
  <si>
    <t>Forskel</t>
  </si>
  <si>
    <t>Forskel i pct.</t>
  </si>
  <si>
    <t>Kompensationsperiode</t>
  </si>
  <si>
    <t>Forventet kommerciel omsætnignsnedgang</t>
  </si>
  <si>
    <t>Trappe nr.</t>
  </si>
  <si>
    <t>kompensationsprocent</t>
  </si>
  <si>
    <t>Mulige kompensationsperioder</t>
  </si>
  <si>
    <t>Referenceperiode for realiseret omsætning</t>
  </si>
  <si>
    <t>Ref. Realiseret omsætning start</t>
  </si>
  <si>
    <t>Ref. Realiseret omsætning slut</t>
  </si>
  <si>
    <t>Indirekte henvisning start</t>
  </si>
  <si>
    <t>Indirekte henvisning slut</t>
  </si>
  <si>
    <t>Ref oms. startdato</t>
  </si>
  <si>
    <t>Ref oms. slutdato</t>
  </si>
  <si>
    <t>Henvisning for indirekte d-g omsætning start</t>
  </si>
  <si>
    <t>Henvisning for indirekte d-g omsætning slut</t>
  </si>
  <si>
    <t>Op-/nedskaleret kommerciel omsætning svarende til kompensationsperioden</t>
  </si>
  <si>
    <t>Ref oms. Minimumslængde, årbrøk</t>
  </si>
  <si>
    <t>Ref faste. startdato</t>
  </si>
  <si>
    <t>Ref faste slutdato</t>
  </si>
  <si>
    <t>Henvisning for indirekte b1 og c faste omkostninger start</t>
  </si>
  <si>
    <t>Henvisning for indirekte b1 og c faste omkostninger slut</t>
  </si>
  <si>
    <t>Ref faste Minimumslængde, årbrøk</t>
  </si>
  <si>
    <t>Realiseret kommerciel omsætning i alt i perioden</t>
  </si>
  <si>
    <t>Stamdata</t>
  </si>
  <si>
    <t>Revisorgodtgørelse</t>
  </si>
  <si>
    <t>Model 1 - standard</t>
  </si>
  <si>
    <t>a) Standardperiode 01-11-2019 til 29-02-2020</t>
  </si>
  <si>
    <t>Ref. Faste omkostninger start</t>
  </si>
  <si>
    <t>Ref. Faste omkostninger slut</t>
  </si>
  <si>
    <t>b_faste_start</t>
  </si>
  <si>
    <t>Årsregnskab med balancedag den 28. februar 2019 eller senere</t>
  </si>
  <si>
    <t>Halvårsregnskab med balancedag den 31. august 2019 eller senere</t>
  </si>
  <si>
    <t>Kvartalsregnskab med balancedag den 30. november 2019 eller senere</t>
  </si>
  <si>
    <t>Årets resultat for kalenderåret 2019</t>
  </si>
  <si>
    <t>Ønsker I kun at søge kompensation for periode med åbningsforbud?</t>
  </si>
  <si>
    <t>Sidste dag med åbningsforbud i kompensationsperioden</t>
  </si>
  <si>
    <t>Første dag med åbningsforbud i kompensationsperioden</t>
  </si>
  <si>
    <t>Faktisk omsætning i kompensationsperioden</t>
  </si>
  <si>
    <t>Faktisk kommerciel omsætning i perioden med åbningsforbud</t>
  </si>
  <si>
    <t>Realiseret omsætning i referenceperioden</t>
  </si>
  <si>
    <t>Faktiske faste omkostninger i kompensationsperioden</t>
  </si>
  <si>
    <t>Foreløbig kompensationsbeløb for periode med åbningsforbud</t>
  </si>
  <si>
    <t>Foreløbig kompensationsbeløb for periode uden åbningsforbud</t>
  </si>
  <si>
    <t>Foreløbig kompensationsbeløb</t>
  </si>
  <si>
    <t>Kompensationsbeløb inkl.  evt. revisorgodtgørelse samt evt. reduktion ved negativt resultat</t>
  </si>
  <si>
    <t>Tallene for realiseret omsætning i referenceperioden skal stemme overens med senest indsendte og godkendte revisorerklæring for ansøgningen.</t>
  </si>
  <si>
    <t>Antal dage i komp.per.</t>
  </si>
  <si>
    <t>Realiserede faste omkostninger</t>
  </si>
  <si>
    <t>Udlignet kompensationsbeløb</t>
  </si>
  <si>
    <t>Resultat af beregning 1 (ny)</t>
  </si>
  <si>
    <t>Resultat af beregning 2 (gammel)</t>
  </si>
  <si>
    <t>Realiserede faste omkostninger i referenceperioden</t>
  </si>
  <si>
    <t>Højeste mulige kompensationsbeløb efter reduktion ved negativt resultat</t>
  </si>
  <si>
    <t>Modtaget kompensation for forventede faste omkostninger i perioden ekskl. revisorgodtgørelse</t>
  </si>
  <si>
    <t>Er institutionens resultat med balancedag i 2017, 2018 og 2019 samlet set positivt?</t>
  </si>
  <si>
    <t>Er institutionens resultat positivt for hvert af de 3 regnskabsår med balancedag i 2016, 2017 og 2018?</t>
  </si>
  <si>
    <t>Underskud i 2019 resultat</t>
  </si>
  <si>
    <t>Er det 2019 resultat negativt som følge af ekstraordinære omstændigheder?</t>
  </si>
  <si>
    <t>Hvis ansøger er pålagt revisorerklæring og der ikke er modtaget mere 250.000 kr., ydes der godtgørelse for 80 pct. af udgifterne til revisorerklæring. Godtgørelsen til revision kan maksimalt udgøre 16.000 kr. ekskl. moms. De relevante felter udfyldes af sagsbehandler.</t>
  </si>
  <si>
    <t>Krav til referenceperiode</t>
  </si>
  <si>
    <t>Referenceperiode start, for valgte referenceperiode</t>
  </si>
  <si>
    <t>Referenceperiode slut, for valgte referenceperiode</t>
  </si>
  <si>
    <t>Forventede faste omkostninger angivet i ansøgningen</t>
  </si>
  <si>
    <t>Afvigelse i pct. fra realiserede faste omkostninger</t>
  </si>
  <si>
    <t>Afvigelse i pct. fra forventede faste omkostninger</t>
  </si>
  <si>
    <t>Indtast instiutitonsnavn</t>
  </si>
  <si>
    <t>Intast CVR-nr.</t>
  </si>
  <si>
    <t>Standard kompensationsperiode start</t>
  </si>
  <si>
    <t>Standard kompensationsperiode slut</t>
  </si>
  <si>
    <t>Er de faste omkostningers andel af de kommercielle indtægters andel af de samlede indtægter i kompensationsperioden indenfor minimumskravet?</t>
  </si>
  <si>
    <t>Overstiger den forventede kompensation den nominelle nedgang i kommerciel omsætning?</t>
  </si>
  <si>
    <t xml:space="preserve">Forholdsmæssig beregning af foreløbigt kompensationsbeløb for periode uden åbningsforbud </t>
  </si>
  <si>
    <t>Oplys perioden for 2019 resultat</t>
  </si>
  <si>
    <t xml:space="preserve">Oplys resultatet for 2019 </t>
  </si>
  <si>
    <t>Til multiplicering (ny og gammel)</t>
  </si>
  <si>
    <t>d_faste_start</t>
  </si>
  <si>
    <t>Faktisk kommerciel omsætningsnedgang i kompensationsperioden</t>
  </si>
  <si>
    <t>Kun ved forbud</t>
  </si>
  <si>
    <t>Faktisk foreløbigt kompensationsbeløb ekskl. revisorgodtgørelse</t>
  </si>
  <si>
    <t>Er institutionens 2019 resultat negativt? (udfyldes kun ved ansøgning efter kristebestemmelsen)</t>
  </si>
  <si>
    <t>Faktisk resultat i perioden med åbningsforbud</t>
  </si>
  <si>
    <t>Faktiske variable omkostninger i perioden med åbningsforbud</t>
  </si>
  <si>
    <t>Reduktion af kompensationsbeløb for periode med åbningsforbud</t>
  </si>
  <si>
    <t>Reduktion af kompensationsbeløb i pct. af faktisk kompensationsbeløb for periode med åbningsforbud</t>
  </si>
  <si>
    <t>Forholdsmæssig beregning af faktiske omsætning i perioden med åbningsforbud</t>
  </si>
  <si>
    <t>Forholdsmæssig beregning af faktiske faste omkostninger i perioden med åbningsforbud</t>
  </si>
  <si>
    <t>Institutionens faktiske omsætning i perioden med åbningsforbud fratrukket faktiske faste og variable omkostninger for perioden med åbnignsforbud</t>
  </si>
  <si>
    <t>Er institutionens faktiske omsætning i perioden med åbningsforbud fratrukket faktiske faste og variable omkostninger lig det faktiske underskud? (tolerancemargin på +/- 100.000 kr. eller +/- 10 pct.)</t>
  </si>
  <si>
    <t>Er det faktiske resultat for perioden med åbningsforbud inklusiv 50 pct. af kompensation mindre end det seneste resultat (skaleret til længden på perioden med åbningsforbud)</t>
  </si>
  <si>
    <t>Slots- og Kulturstyrelsen fastholder en udbetaling på 50 pct. af kompensationsbeløbet for perioden med åbningsforbud</t>
  </si>
  <si>
    <t>Referenceperioden kan kun benyttes af instiutioner med stiftelsesdato efter 01-11-2019</t>
  </si>
  <si>
    <t>d_oms_start</t>
  </si>
  <si>
    <t>Valgt komp. periode</t>
  </si>
  <si>
    <t>Bilag til kompensation af faste omkostninger - afrapportering for perioden 1. december 2021 - 28. februar 2022 (version 1)</t>
  </si>
  <si>
    <t>01-12-2021 til 31-12-2021</t>
  </si>
  <si>
    <t>01-12-2021 til 31-01-2022</t>
  </si>
  <si>
    <t>10-12-2021 til 31-01-2022</t>
  </si>
  <si>
    <t>19-12-2021 til 31-01-2022</t>
  </si>
  <si>
    <t>01-12-2021 til 28-02-2022</t>
  </si>
  <si>
    <t>10-12-2021 til 28-02-2022</t>
  </si>
  <si>
    <t>19-12-2021 til 28-02-2022</t>
  </si>
  <si>
    <t>01-01-2022 til 28-02-2022</t>
  </si>
  <si>
    <t>c) Referenceperiode  ved særlige omstændigheder</t>
  </si>
  <si>
    <t>c_oms_start</t>
  </si>
  <si>
    <t>c_oms_slut</t>
  </si>
  <si>
    <t>b) 01-09-2021 til 30-11-2021</t>
  </si>
  <si>
    <t>b) Fra stiftelsesdato til 09-03-2020</t>
  </si>
  <si>
    <t>e_faste_start</t>
  </si>
  <si>
    <t>Referenceperioden kan kun benyttes af instiutioner med stiftelsesdato efter 01-12-2019</t>
  </si>
  <si>
    <t>Referenceperioden kan kun benyttes af instiutioner med stiftelsesdato efter 01-12-2021</t>
  </si>
  <si>
    <r>
      <t xml:space="preserve">Hvis institutionen søger efter krisebestemmelsen, og hvis institutionen har været omfattet af åbningsforbud og i denne periode ikke har haft kommerciel omsætning, reduceres kompensationsbeløbet for perioden med åbningsforbud, såfremt institutionens resultat for 2019 er negativt.
OBS. Hvis institutionen </t>
    </r>
    <r>
      <rPr>
        <u/>
        <sz val="11"/>
        <rFont val="Calibri"/>
        <family val="2"/>
        <scheme val="minor"/>
      </rPr>
      <t>ikke</t>
    </r>
    <r>
      <rPr>
        <sz val="11"/>
        <rFont val="Calibri"/>
        <family val="2"/>
        <scheme val="minor"/>
      </rPr>
      <t xml:space="preserve"> er omfattet af ovenstående, skal der</t>
    </r>
    <r>
      <rPr>
        <u/>
        <sz val="11"/>
        <rFont val="Calibri"/>
        <family val="2"/>
        <scheme val="minor"/>
      </rPr>
      <t xml:space="preserve"> ikke oplyses om 2019 resultat</t>
    </r>
    <r>
      <rPr>
        <sz val="11"/>
        <rFont val="Calibri"/>
        <family val="2"/>
        <scheme val="minor"/>
      </rPr>
      <t>. I kan fortsætte til punktet om godtgørelse af revisorudgifter.</t>
    </r>
  </si>
  <si>
    <t>Tallene for realiserede omkostninger i referenceperioden skal stemme overens med senest indsendte og godkendte revisorerklæring for ansøgningen.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</si>
</sst>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14"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0" tint="-0.1499984740745262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b/>
      <sz val="11"/>
      <color theme="0" tint="-0.14999847407452621"/>
      <name val="Calibri"/>
      <family val="2"/>
      <scheme val="minor"/>
    </font>
    <font>
      <b/>
      <sz val="12"/>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9"/>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32">
    <xf numFmtId="0" fontId="0" fillId="0" borderId="0" xfId="0"/>
    <xf numFmtId="164" fontId="0" fillId="0" borderId="7" xfId="0" applyNumberFormat="1" applyBorder="1" applyAlignment="1" applyProtection="1">
      <alignment horizontal="right"/>
      <protection locked="0"/>
    </xf>
    <xf numFmtId="0" fontId="1" fillId="2" borderId="6" xfId="0" applyFont="1" applyFill="1" applyBorder="1" applyProtection="1">
      <protection hidden="1"/>
    </xf>
    <xf numFmtId="0" fontId="1" fillId="0" borderId="6" xfId="0" applyFont="1" applyBorder="1" applyProtection="1">
      <protection hidden="1"/>
    </xf>
    <xf numFmtId="10" fontId="0" fillId="2" borderId="7" xfId="0" applyNumberFormat="1" applyFill="1" applyBorder="1" applyProtection="1">
      <protection hidden="1"/>
    </xf>
    <xf numFmtId="0" fontId="1" fillId="0" borderId="6" xfId="0" applyFont="1" applyFill="1" applyBorder="1" applyProtection="1">
      <protection hidden="1"/>
    </xf>
    <xf numFmtId="164" fontId="0" fillId="3" borderId="6" xfId="0" applyNumberFormat="1" applyFont="1" applyFill="1" applyBorder="1" applyProtection="1">
      <protection hidden="1"/>
    </xf>
    <xf numFmtId="164" fontId="0" fillId="3" borderId="7" xfId="0" applyNumberFormat="1" applyFont="1" applyFill="1" applyBorder="1" applyProtection="1">
      <protection hidden="1"/>
    </xf>
    <xf numFmtId="0" fontId="0" fillId="3" borderId="6" xfId="0" applyFont="1" applyFill="1" applyBorder="1" applyProtection="1">
      <protection hidden="1"/>
    </xf>
    <xf numFmtId="0" fontId="0" fillId="0" borderId="7" xfId="0" applyBorder="1" applyAlignment="1" applyProtection="1">
      <alignment horizontal="right"/>
      <protection locked="0"/>
    </xf>
    <xf numFmtId="14" fontId="6" fillId="2" borderId="7" xfId="0" applyNumberFormat="1" applyFont="1" applyFill="1" applyBorder="1" applyAlignment="1" applyProtection="1">
      <alignment horizontal="right"/>
      <protection locked="0"/>
    </xf>
    <xf numFmtId="0" fontId="4" fillId="0" borderId="6" xfId="0" applyFont="1" applyFill="1" applyBorder="1" applyProtection="1">
      <protection hidden="1"/>
    </xf>
    <xf numFmtId="0" fontId="4" fillId="2" borderId="6" xfId="0" applyFont="1" applyFill="1" applyBorder="1" applyProtection="1">
      <protection hidden="1"/>
    </xf>
    <xf numFmtId="0" fontId="4" fillId="2" borderId="4" xfId="0" applyFont="1" applyFill="1" applyBorder="1" applyProtection="1">
      <protection hidden="1"/>
    </xf>
    <xf numFmtId="14" fontId="6" fillId="2" borderId="7" xfId="0" applyNumberFormat="1" applyFont="1" applyFill="1" applyBorder="1" applyAlignment="1" applyProtection="1">
      <alignment horizontal="right" wrapText="1"/>
      <protection locked="0"/>
    </xf>
    <xf numFmtId="164" fontId="0" fillId="3" borderId="5" xfId="0" applyNumberFormat="1" applyFill="1" applyBorder="1" applyAlignment="1" applyProtection="1">
      <alignment horizontal="right"/>
      <protection hidden="1"/>
    </xf>
    <xf numFmtId="0" fontId="4" fillId="0" borderId="6" xfId="0" applyFont="1" applyFill="1" applyBorder="1" applyAlignment="1" applyProtection="1">
      <alignment wrapText="1"/>
      <protection hidden="1"/>
    </xf>
    <xf numFmtId="14" fontId="5" fillId="2" borderId="7" xfId="0" applyNumberFormat="1" applyFont="1" applyFill="1" applyBorder="1" applyAlignment="1" applyProtection="1">
      <alignment horizontal="right"/>
      <protection hidden="1"/>
    </xf>
    <xf numFmtId="164" fontId="0" fillId="3" borderId="4" xfId="0" applyNumberFormat="1" applyFont="1" applyFill="1" applyBorder="1" applyProtection="1">
      <protection hidden="1"/>
    </xf>
    <xf numFmtId="164" fontId="0" fillId="3" borderId="5" xfId="0" applyNumberFormat="1" applyFont="1" applyFill="1" applyBorder="1" applyProtection="1">
      <protection hidden="1"/>
    </xf>
    <xf numFmtId="164" fontId="5" fillId="3" borderId="7" xfId="0" applyNumberFormat="1" applyFont="1" applyFill="1" applyBorder="1" applyAlignment="1" applyProtection="1">
      <alignment horizontal="right"/>
      <protection hidden="1"/>
    </xf>
    <xf numFmtId="0" fontId="1" fillId="0" borderId="6" xfId="0" applyFont="1" applyFill="1" applyBorder="1" applyAlignment="1" applyProtection="1">
      <protection hidden="1"/>
    </xf>
    <xf numFmtId="14" fontId="6" fillId="2" borderId="7" xfId="0" applyNumberFormat="1" applyFont="1" applyFill="1" applyBorder="1" applyAlignment="1" applyProtection="1">
      <alignment horizontal="right"/>
      <protection locked="0" hidden="1"/>
    </xf>
    <xf numFmtId="0" fontId="0" fillId="0" borderId="0" xfId="0" applyProtection="1"/>
    <xf numFmtId="0" fontId="0" fillId="3" borderId="7" xfId="0" applyNumberFormat="1" applyFill="1" applyBorder="1" applyAlignment="1" applyProtection="1">
      <alignment horizontal="right" wrapText="1"/>
    </xf>
    <xf numFmtId="14" fontId="5" fillId="2" borderId="7" xfId="0" applyNumberFormat="1" applyFont="1" applyFill="1" applyBorder="1" applyProtection="1"/>
    <xf numFmtId="0" fontId="5" fillId="3" borderId="7" xfId="0" applyNumberFormat="1" applyFont="1" applyFill="1" applyBorder="1" applyAlignment="1" applyProtection="1">
      <alignment horizontal="right"/>
    </xf>
    <xf numFmtId="0" fontId="0" fillId="3" borderId="4" xfId="0" applyFont="1" applyFill="1" applyBorder="1" applyAlignment="1" applyProtection="1">
      <alignment wrapText="1"/>
      <protection hidden="1"/>
    </xf>
    <xf numFmtId="14" fontId="5" fillId="3" borderId="7" xfId="0" applyNumberFormat="1" applyFont="1" applyFill="1" applyBorder="1" applyAlignment="1" applyProtection="1">
      <alignment horizontal="right"/>
      <protection hidden="1"/>
    </xf>
    <xf numFmtId="14" fontId="5" fillId="0" borderId="7" xfId="0" applyNumberFormat="1" applyFont="1" applyFill="1" applyBorder="1" applyAlignment="1" applyProtection="1">
      <alignment horizontal="right" wrapText="1"/>
      <protection locked="0"/>
    </xf>
    <xf numFmtId="14" fontId="0" fillId="0" borderId="7" xfId="0" applyNumberFormat="1" applyFill="1" applyBorder="1" applyAlignment="1" applyProtection="1">
      <alignment horizontal="right" wrapText="1"/>
      <protection locked="0"/>
    </xf>
    <xf numFmtId="0" fontId="11" fillId="2" borderId="6" xfId="0" applyFont="1" applyFill="1" applyBorder="1" applyProtection="1">
      <protection hidden="1"/>
    </xf>
    <xf numFmtId="0" fontId="11" fillId="2" borderId="6" xfId="0" applyFont="1" applyFill="1" applyBorder="1" applyProtection="1"/>
    <xf numFmtId="0" fontId="5" fillId="3" borderId="6" xfId="0" applyFont="1" applyFill="1" applyBorder="1" applyProtection="1">
      <protection hidden="1"/>
    </xf>
    <xf numFmtId="0" fontId="5" fillId="3" borderId="7" xfId="0" applyNumberFormat="1" applyFont="1" applyFill="1" applyBorder="1" applyAlignment="1" applyProtection="1">
      <alignment horizontal="right"/>
      <protection locked="0" hidden="1"/>
    </xf>
    <xf numFmtId="0" fontId="5" fillId="3" borderId="6" xfId="0" applyFont="1" applyFill="1" applyBorder="1" applyAlignment="1" applyProtection="1">
      <alignment wrapText="1"/>
      <protection hidden="1"/>
    </xf>
    <xf numFmtId="164" fontId="5" fillId="3" borderId="7" xfId="0" applyNumberFormat="1" applyFont="1" applyFill="1" applyBorder="1" applyProtection="1">
      <protection hidden="1"/>
    </xf>
    <xf numFmtId="9" fontId="5" fillId="3" borderId="7" xfId="1" applyFont="1" applyFill="1" applyBorder="1" applyProtection="1">
      <protection hidden="1"/>
    </xf>
    <xf numFmtId="0" fontId="5" fillId="3" borderId="7" xfId="0" applyNumberFormat="1" applyFont="1" applyFill="1" applyBorder="1" applyAlignment="1" applyProtection="1">
      <alignment horizontal="right"/>
      <protection hidden="1"/>
    </xf>
    <xf numFmtId="0" fontId="1" fillId="2" borderId="2" xfId="0" applyFont="1" applyFill="1" applyBorder="1" applyAlignment="1" applyProtection="1">
      <alignment wrapText="1"/>
      <protection hidden="1"/>
    </xf>
    <xf numFmtId="0" fontId="1" fillId="0" borderId="4" xfId="0" applyFont="1" applyFill="1" applyBorder="1" applyProtection="1">
      <protection hidden="1"/>
    </xf>
    <xf numFmtId="0" fontId="5" fillId="2" borderId="7" xfId="0" applyNumberFormat="1" applyFont="1" applyFill="1" applyBorder="1" applyAlignment="1" applyProtection="1">
      <alignment horizontal="right"/>
      <protection hidden="1"/>
    </xf>
    <xf numFmtId="0" fontId="1" fillId="3" borderId="6" xfId="0" applyFont="1" applyFill="1" applyBorder="1" applyAlignment="1" applyProtection="1">
      <alignment wrapText="1"/>
      <protection hidden="1"/>
    </xf>
    <xf numFmtId="164" fontId="0" fillId="3" borderId="7" xfId="0" applyNumberFormat="1" applyFill="1" applyBorder="1" applyProtection="1">
      <protection hidden="1"/>
    </xf>
    <xf numFmtId="14" fontId="5" fillId="2" borderId="7" xfId="0" applyNumberFormat="1" applyFont="1" applyFill="1" applyBorder="1" applyAlignment="1" applyProtection="1">
      <alignment horizontal="right"/>
    </xf>
    <xf numFmtId="164" fontId="0" fillId="2" borderId="7" xfId="0" applyNumberFormat="1" applyFill="1" applyBorder="1" applyAlignment="1" applyProtection="1">
      <alignment horizontal="right"/>
    </xf>
    <xf numFmtId="0" fontId="4" fillId="0" borderId="0" xfId="0" applyFont="1"/>
    <xf numFmtId="0" fontId="5" fillId="0" borderId="0" xfId="0" applyFont="1"/>
    <xf numFmtId="0" fontId="5" fillId="0" borderId="0" xfId="0" applyFont="1" applyAlignment="1">
      <alignment horizontal="right"/>
    </xf>
    <xf numFmtId="14" fontId="5" fillId="0" borderId="0" xfId="0" applyNumberFormat="1" applyFont="1" applyAlignment="1">
      <alignment horizontal="right"/>
    </xf>
    <xf numFmtId="14" fontId="5" fillId="0" borderId="0" xfId="0" applyNumberFormat="1" applyFont="1"/>
    <xf numFmtId="0" fontId="5" fillId="0" borderId="0" xfId="0" applyNumberFormat="1" applyFont="1"/>
    <xf numFmtId="14"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right"/>
    </xf>
    <xf numFmtId="2" fontId="5" fillId="0" borderId="0" xfId="0" applyNumberFormat="1" applyFont="1"/>
    <xf numFmtId="14" fontId="5" fillId="0" borderId="0" xfId="2" applyNumberFormat="1" applyFont="1" applyAlignment="1">
      <alignment horizontal="right"/>
    </xf>
    <xf numFmtId="9" fontId="5" fillId="0" borderId="0" xfId="0" applyNumberFormat="1" applyFont="1"/>
    <xf numFmtId="0" fontId="0" fillId="2" borderId="7" xfId="0" applyNumberFormat="1" applyFill="1" applyBorder="1" applyAlignment="1" applyProtection="1">
      <alignment horizontal="right"/>
      <protection hidden="1"/>
    </xf>
    <xf numFmtId="0" fontId="4" fillId="0" borderId="6" xfId="0" applyFont="1" applyFill="1" applyBorder="1" applyAlignment="1" applyProtection="1">
      <alignment vertical="center" wrapText="1"/>
      <protection hidden="1"/>
    </xf>
    <xf numFmtId="10" fontId="5" fillId="2" borderId="7" xfId="0" applyNumberFormat="1" applyFont="1" applyFill="1" applyBorder="1" applyProtection="1">
      <protection hidden="1"/>
    </xf>
    <xf numFmtId="164" fontId="5" fillId="0" borderId="7" xfId="0" applyNumberFormat="1" applyFont="1" applyFill="1" applyBorder="1" applyAlignment="1" applyProtection="1">
      <alignment horizontal="right"/>
      <protection locked="0"/>
    </xf>
    <xf numFmtId="0" fontId="0" fillId="0" borderId="0" xfId="0" applyNumberFormat="1" applyProtection="1"/>
    <xf numFmtId="164" fontId="6" fillId="2" borderId="7" xfId="0" applyNumberFormat="1" applyFont="1" applyFill="1" applyBorder="1" applyAlignment="1" applyProtection="1">
      <alignment horizontal="right"/>
      <protection locked="0"/>
    </xf>
    <xf numFmtId="164" fontId="0" fillId="3" borderId="7" xfId="0" applyNumberFormat="1" applyFont="1" applyFill="1" applyBorder="1" applyAlignment="1" applyProtection="1">
      <alignment horizontal="right"/>
      <protection hidden="1"/>
    </xf>
    <xf numFmtId="10" fontId="5" fillId="3" borderId="7" xfId="0" applyNumberFormat="1" applyFont="1" applyFill="1" applyBorder="1" applyAlignment="1" applyProtection="1">
      <alignment horizontal="right"/>
      <protection hidden="1"/>
    </xf>
    <xf numFmtId="0" fontId="1" fillId="2" borderId="4" xfId="0" applyFont="1" applyFill="1" applyBorder="1" applyProtection="1">
      <protection hidden="1"/>
    </xf>
    <xf numFmtId="10" fontId="0" fillId="2" borderId="5" xfId="0" applyNumberFormat="1" applyFill="1" applyBorder="1" applyProtection="1">
      <protection hidden="1"/>
    </xf>
    <xf numFmtId="14" fontId="5" fillId="2" borderId="5" xfId="0" applyNumberFormat="1" applyFont="1" applyFill="1" applyBorder="1" applyAlignment="1" applyProtection="1">
      <alignment horizontal="right"/>
    </xf>
    <xf numFmtId="0" fontId="5" fillId="3" borderId="6" xfId="0" applyFont="1" applyFill="1" applyBorder="1" applyAlignment="1" applyProtection="1">
      <protection hidden="1"/>
    </xf>
    <xf numFmtId="0" fontId="11" fillId="2" borderId="4" xfId="0" applyFont="1" applyFill="1" applyBorder="1" applyAlignment="1" applyProtection="1">
      <protection hidden="1"/>
    </xf>
    <xf numFmtId="0" fontId="11" fillId="2" borderId="6" xfId="0" applyFont="1" applyFill="1" applyBorder="1" applyAlignment="1" applyProtection="1">
      <alignment wrapText="1"/>
      <protection hidden="1"/>
    </xf>
    <xf numFmtId="0" fontId="6" fillId="2" borderId="7" xfId="0" applyNumberFormat="1" applyFont="1" applyFill="1" applyBorder="1" applyAlignment="1" applyProtection="1">
      <alignment horizontal="right"/>
      <protection hidden="1"/>
    </xf>
    <xf numFmtId="0" fontId="6" fillId="2" borderId="7" xfId="0" applyFont="1" applyFill="1" applyBorder="1" applyAlignment="1" applyProtection="1">
      <alignment horizontal="right"/>
      <protection locked="0"/>
    </xf>
    <xf numFmtId="0" fontId="11" fillId="2" borderId="6" xfId="0" applyFont="1" applyFill="1" applyBorder="1" applyAlignment="1" applyProtection="1">
      <alignment vertical="center"/>
      <protection hidden="1"/>
    </xf>
    <xf numFmtId="0" fontId="6" fillId="2" borderId="7" xfId="0" applyNumberFormat="1" applyFont="1" applyFill="1" applyBorder="1" applyAlignment="1" applyProtection="1">
      <alignment horizontal="right" vertical="center" wrapText="1"/>
      <protection locked="0"/>
    </xf>
    <xf numFmtId="14" fontId="5" fillId="0" borderId="7" xfId="0" applyNumberFormat="1" applyFont="1" applyFill="1" applyBorder="1" applyAlignment="1" applyProtection="1">
      <alignment horizontal="right"/>
      <protection locked="0"/>
    </xf>
    <xf numFmtId="0" fontId="4" fillId="0" borderId="4" xfId="0" applyFont="1" applyFill="1" applyBorder="1" applyAlignment="1" applyProtection="1">
      <alignment wrapText="1"/>
      <protection hidden="1"/>
    </xf>
    <xf numFmtId="164" fontId="0" fillId="0" borderId="5" xfId="0" applyNumberFormat="1" applyBorder="1" applyAlignment="1" applyProtection="1">
      <alignment horizontal="right"/>
      <protection locked="0"/>
    </xf>
    <xf numFmtId="14" fontId="5" fillId="0" borderId="0" xfId="0" applyNumberFormat="1" applyFont="1" applyAlignment="1"/>
    <xf numFmtId="0" fontId="1" fillId="0" borderId="4" xfId="0" applyFont="1" applyBorder="1" applyProtection="1">
      <protection hidden="1"/>
    </xf>
    <xf numFmtId="0" fontId="0" fillId="0" borderId="5" xfId="0" applyNumberFormat="1" applyBorder="1" applyAlignment="1" applyProtection="1">
      <alignment horizontal="right"/>
      <protection locked="0"/>
    </xf>
    <xf numFmtId="164" fontId="0" fillId="2" borderId="3" xfId="0" applyNumberFormat="1" applyFill="1" applyBorder="1" applyProtection="1">
      <protection hidden="1"/>
    </xf>
    <xf numFmtId="164" fontId="5" fillId="2" borderId="5" xfId="0" applyNumberFormat="1" applyFont="1" applyFill="1" applyBorder="1" applyAlignment="1" applyProtection="1">
      <protection hidden="1"/>
    </xf>
    <xf numFmtId="164" fontId="6" fillId="2" borderId="5" xfId="0" applyNumberFormat="1" applyFont="1" applyFill="1" applyBorder="1" applyAlignment="1" applyProtection="1">
      <alignment horizontal="right"/>
      <protection hidden="1"/>
    </xf>
    <xf numFmtId="164" fontId="0" fillId="2" borderId="5" xfId="0" applyNumberFormat="1" applyFont="1" applyFill="1" applyBorder="1" applyProtection="1">
      <protection hidden="1"/>
    </xf>
    <xf numFmtId="0" fontId="6" fillId="2" borderId="6" xfId="0" applyFont="1" applyFill="1" applyBorder="1" applyAlignment="1" applyProtection="1">
      <alignment horizontal="left" wrapText="1"/>
      <protection hidden="1"/>
    </xf>
    <xf numFmtId="0" fontId="6" fillId="2" borderId="7" xfId="0" applyFont="1" applyFill="1" applyBorder="1" applyAlignment="1" applyProtection="1">
      <alignment horizontal="left" wrapText="1"/>
      <protection hidden="1"/>
    </xf>
    <xf numFmtId="0" fontId="0" fillId="2" borderId="6" xfId="0" applyFill="1" applyBorder="1" applyAlignment="1" applyProtection="1">
      <alignment horizontal="left" wrapText="1"/>
      <protection hidden="1"/>
    </xf>
    <xf numFmtId="0" fontId="0" fillId="2" borderId="7" xfId="0" applyFill="1" applyBorder="1" applyAlignment="1" applyProtection="1">
      <alignment horizontal="left" wrapText="1"/>
      <protection hidden="1"/>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1" fillId="0" borderId="13" xfId="0" applyFont="1" applyBorder="1" applyAlignment="1" applyProtection="1">
      <alignment horizontal="center"/>
      <protection hidden="1"/>
    </xf>
    <xf numFmtId="164" fontId="5" fillId="0" borderId="12" xfId="0"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0" fontId="6" fillId="2" borderId="6" xfId="0" applyFont="1" applyFill="1" applyBorder="1" applyAlignment="1" applyProtection="1">
      <alignment vertical="center" wrapText="1"/>
      <protection hidden="1"/>
    </xf>
    <xf numFmtId="0" fontId="6" fillId="2" borderId="7" xfId="0" applyFont="1" applyFill="1" applyBorder="1" applyAlignment="1" applyProtection="1">
      <alignment vertical="center" wrapText="1"/>
      <protection hidden="1"/>
    </xf>
    <xf numFmtId="0" fontId="6" fillId="2" borderId="6" xfId="0" applyFont="1" applyFill="1" applyBorder="1"/>
    <xf numFmtId="0" fontId="6" fillId="2" borderId="7" xfId="0" applyFont="1" applyFill="1" applyBorder="1"/>
    <xf numFmtId="0" fontId="11" fillId="2" borderId="6" xfId="0" applyFont="1" applyFill="1" applyBorder="1" applyAlignment="1" applyProtection="1">
      <alignment horizontal="center"/>
      <protection hidden="1"/>
    </xf>
    <xf numFmtId="0" fontId="11" fillId="2" borderId="7" xfId="0" applyFont="1" applyFill="1" applyBorder="1" applyAlignment="1" applyProtection="1">
      <alignment horizontal="center"/>
      <protection hidden="1"/>
    </xf>
    <xf numFmtId="0" fontId="4" fillId="0" borderId="1" xfId="0" applyFont="1" applyFill="1" applyBorder="1" applyAlignment="1" applyProtection="1">
      <alignment horizontal="center" wrapText="1"/>
      <protection hidden="1"/>
    </xf>
    <xf numFmtId="0" fontId="1" fillId="0" borderId="12" xfId="0" applyFont="1" applyBorder="1" applyAlignment="1" applyProtection="1">
      <alignment horizontal="center"/>
      <protection hidden="1"/>
    </xf>
    <xf numFmtId="0" fontId="0" fillId="2" borderId="6"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9" fillId="2" borderId="2"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6" fillId="2" borderId="6"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xf>
    <xf numFmtId="0" fontId="6" fillId="2" borderId="6"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164" fontId="10" fillId="2" borderId="10" xfId="0" applyNumberFormat="1" applyFont="1" applyFill="1" applyBorder="1" applyAlignment="1" applyProtection="1">
      <alignment horizontal="center"/>
      <protection hidden="1"/>
    </xf>
    <xf numFmtId="164" fontId="10" fillId="2" borderId="11" xfId="0" applyNumberFormat="1" applyFont="1" applyFill="1" applyBorder="1" applyAlignment="1" applyProtection="1">
      <alignment horizontal="center"/>
      <protection hidden="1"/>
    </xf>
    <xf numFmtId="0" fontId="0" fillId="2" borderId="4" xfId="0" applyFont="1" applyFill="1" applyBorder="1" applyAlignment="1" applyProtection="1">
      <alignment horizontal="left" wrapText="1"/>
      <protection hidden="1"/>
    </xf>
    <xf numFmtId="0" fontId="0" fillId="2" borderId="5" xfId="0" applyFont="1" applyFill="1" applyBorder="1" applyAlignment="1" applyProtection="1">
      <alignment horizontal="left" wrapText="1"/>
      <protection hidden="1"/>
    </xf>
    <xf numFmtId="0" fontId="5" fillId="2" borderId="6" xfId="0" applyFont="1" applyFill="1" applyBorder="1" applyAlignment="1" applyProtection="1">
      <alignment horizontal="left" wrapText="1"/>
      <protection hidden="1"/>
    </xf>
    <xf numFmtId="0" fontId="5" fillId="2" borderId="7" xfId="0" applyFont="1" applyFill="1" applyBorder="1" applyAlignment="1" applyProtection="1">
      <alignment horizontal="left" wrapText="1"/>
      <protection hidden="1"/>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0" fontId="0" fillId="2" borderId="6" xfId="0" applyFont="1" applyFill="1" applyBorder="1" applyAlignment="1" applyProtection="1">
      <alignment vertical="center" wrapText="1"/>
      <protection hidden="1"/>
    </xf>
    <xf numFmtId="0" fontId="0" fillId="2" borderId="7" xfId="0" applyFont="1" applyFill="1" applyBorder="1" applyAlignment="1" applyProtection="1">
      <alignment vertical="center" wrapText="1"/>
      <protection hidden="1"/>
    </xf>
    <xf numFmtId="0" fontId="1" fillId="2" borderId="6" xfId="0" applyFont="1" applyFill="1" applyBorder="1" applyAlignment="1" applyProtection="1">
      <alignment horizontal="left"/>
      <protection hidden="1"/>
    </xf>
    <xf numFmtId="0" fontId="1" fillId="2" borderId="7" xfId="0" applyFont="1" applyFill="1" applyBorder="1" applyAlignment="1" applyProtection="1">
      <alignment horizontal="left"/>
      <protection hidden="1"/>
    </xf>
  </cellXfs>
  <cellStyles count="3">
    <cellStyle name="Normal" xfId="0" builtinId="0"/>
    <cellStyle name="Procent" xfId="1" builtinId="5"/>
    <cellStyle name="Valuta" xfId="2" builtinId="4"/>
  </cellStyles>
  <dxfs count="39">
    <dxf>
      <font>
        <color auto="1"/>
      </font>
      <fill>
        <patternFill>
          <bgColor theme="0" tint="-0.14996795556505021"/>
        </patternFill>
      </fill>
    </dxf>
    <dxf>
      <font>
        <color theme="0" tint="-0.14996795556505021"/>
      </font>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rgb="FFFFFF00"/>
        </patternFill>
      </fill>
    </dxf>
    <dxf>
      <font>
        <color auto="1"/>
      </font>
      <fill>
        <patternFill>
          <bgColor rgb="FFFFFF00"/>
        </patternFill>
      </fill>
    </dxf>
    <dxf>
      <font>
        <color auto="1"/>
      </font>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bgColor theme="0" tint="-0.14996795556505021"/>
        </patternFill>
      </fill>
    </dxf>
    <dxf>
      <font>
        <color auto="1"/>
      </font>
      <fill>
        <patternFill patternType="none">
          <bgColor auto="1"/>
        </patternFill>
      </fill>
    </dxf>
    <dxf>
      <font>
        <color auto="1"/>
      </font>
      <fill>
        <patternFill>
          <bgColor theme="0" tint="-0.14996795556505021"/>
        </patternFill>
      </fill>
    </dxf>
    <dxf>
      <font>
        <color auto="1"/>
      </font>
      <fill>
        <patternFill>
          <bgColor rgb="FFFFFF00"/>
        </patternFill>
      </fill>
    </dxf>
    <dxf>
      <font>
        <color auto="1"/>
      </font>
      <fill>
        <patternFill>
          <bgColor rgb="FFFF0000"/>
        </patternFill>
      </fill>
    </dxf>
    <dxf>
      <font>
        <color theme="0" tint="-0.14996795556505021"/>
      </font>
      <fill>
        <patternFill>
          <bgColor theme="0" tint="-0.14996795556505021"/>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0000"/>
        </patternFill>
      </fill>
    </dxf>
    <dxf>
      <fill>
        <patternFill>
          <bgColor theme="9"/>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rgb="FFFFFF00"/>
        </patternFill>
      </fill>
    </dxf>
    <dxf>
      <font>
        <color auto="1"/>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s>
  <tableStyles count="0" defaultTableStyle="TableStyleMedium2" defaultPivotStyle="PivotStyleLight16"/>
  <colors>
    <mruColors>
      <color rgb="FFDE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H120"/>
  <sheetViews>
    <sheetView tabSelected="1" zoomScale="90" zoomScaleNormal="90" workbookViewId="0">
      <selection activeCell="B5" sqref="B5"/>
    </sheetView>
  </sheetViews>
  <sheetFormatPr defaultColWidth="9.140625" defaultRowHeight="15" x14ac:dyDescent="0.25"/>
  <cols>
    <col min="1" max="1" width="75.7109375" style="23" customWidth="1"/>
    <col min="2" max="2" width="45.7109375" style="23" customWidth="1"/>
    <col min="3" max="16384" width="9.140625" style="23"/>
  </cols>
  <sheetData>
    <row r="1" spans="1:2" x14ac:dyDescent="0.25">
      <c r="A1" s="105" t="s">
        <v>128</v>
      </c>
      <c r="B1" s="106"/>
    </row>
    <row r="2" spans="1:2" ht="30" customHeight="1" x14ac:dyDescent="0.25">
      <c r="A2" s="120" t="s">
        <v>0</v>
      </c>
      <c r="B2" s="121"/>
    </row>
    <row r="3" spans="1:2" x14ac:dyDescent="0.25">
      <c r="A3" s="92"/>
      <c r="B3" s="92"/>
    </row>
    <row r="4" spans="1:2" ht="15.75" x14ac:dyDescent="0.25">
      <c r="A4" s="90" t="s">
        <v>58</v>
      </c>
      <c r="B4" s="91"/>
    </row>
    <row r="5" spans="1:2" x14ac:dyDescent="0.25">
      <c r="A5" s="3" t="s">
        <v>1</v>
      </c>
      <c r="B5" s="9" t="s">
        <v>100</v>
      </c>
    </row>
    <row r="6" spans="1:2" x14ac:dyDescent="0.25">
      <c r="A6" s="80" t="s">
        <v>2</v>
      </c>
      <c r="B6" s="81" t="s">
        <v>101</v>
      </c>
    </row>
    <row r="7" spans="1:2" x14ac:dyDescent="0.25">
      <c r="A7" s="111"/>
      <c r="B7" s="111"/>
    </row>
    <row r="8" spans="1:2" ht="17.25" customHeight="1" x14ac:dyDescent="0.25">
      <c r="A8" s="107" t="s">
        <v>36</v>
      </c>
      <c r="B8" s="108"/>
    </row>
    <row r="9" spans="1:2" x14ac:dyDescent="0.25">
      <c r="A9" s="11" t="s">
        <v>36</v>
      </c>
      <c r="B9" s="76" t="s">
        <v>5</v>
      </c>
    </row>
    <row r="10" spans="1:2" hidden="1" x14ac:dyDescent="0.25">
      <c r="A10" s="8" t="s">
        <v>102</v>
      </c>
      <c r="B10" s="28" t="str">
        <f>IFERROR(VLOOKUP(B9,matrix_komp.perioder,2,FALSE),"")</f>
        <v/>
      </c>
    </row>
    <row r="11" spans="1:2" hidden="1" x14ac:dyDescent="0.25">
      <c r="A11" s="8" t="s">
        <v>103</v>
      </c>
      <c r="B11" s="28" t="str">
        <f>IFERROR(VLOOKUP(B9,matrix_komp.perioder,3,FALSE),"")</f>
        <v/>
      </c>
    </row>
    <row r="12" spans="1:2" ht="30" x14ac:dyDescent="0.25">
      <c r="A12" s="16" t="s">
        <v>88</v>
      </c>
      <c r="B12" s="1" t="s">
        <v>6</v>
      </c>
    </row>
    <row r="13" spans="1:2" x14ac:dyDescent="0.25">
      <c r="A13" s="31" t="s">
        <v>71</v>
      </c>
      <c r="B13" s="10" t="s">
        <v>5</v>
      </c>
    </row>
    <row r="14" spans="1:2" x14ac:dyDescent="0.25">
      <c r="A14" s="31" t="s">
        <v>70</v>
      </c>
      <c r="B14" s="10" t="s">
        <v>5</v>
      </c>
    </row>
    <row r="15" spans="1:2" x14ac:dyDescent="0.25">
      <c r="A15" s="31" t="s">
        <v>69</v>
      </c>
      <c r="B15" s="10" t="s">
        <v>5</v>
      </c>
    </row>
    <row r="16" spans="1:2" x14ac:dyDescent="0.25">
      <c r="A16" s="12" t="str">
        <f>IF(B15="Ja","Valgt kompensationsperiode start","Kompensationsperiode start")</f>
        <v>Kompensationsperiode start</v>
      </c>
      <c r="B16" s="44" t="str">
        <f>IF(B15="Ja",MAX(B13,B10),B10)</f>
        <v/>
      </c>
    </row>
    <row r="17" spans="1:2" x14ac:dyDescent="0.25">
      <c r="A17" s="13" t="str">
        <f>IF(B15="Ja","Valgt kompensationsperiode slut","Kompensationsperiode slut")</f>
        <v>Kompensationsperiode slut</v>
      </c>
      <c r="B17" s="68" t="str">
        <f>IF(B15="Ja",MIN(B14,B11),B11)</f>
        <v/>
      </c>
    </row>
    <row r="18" spans="1:2" x14ac:dyDescent="0.25">
      <c r="A18" s="112"/>
      <c r="B18" s="112"/>
    </row>
    <row r="19" spans="1:2" ht="15.75" x14ac:dyDescent="0.25">
      <c r="A19" s="90" t="s">
        <v>74</v>
      </c>
      <c r="B19" s="91"/>
    </row>
    <row r="20" spans="1:2" ht="30" customHeight="1" x14ac:dyDescent="0.25">
      <c r="A20" s="103" t="s">
        <v>80</v>
      </c>
      <c r="B20" s="104"/>
    </row>
    <row r="21" spans="1:2" x14ac:dyDescent="0.25">
      <c r="A21" s="11" t="s">
        <v>41</v>
      </c>
      <c r="B21" s="29" t="s">
        <v>5</v>
      </c>
    </row>
    <row r="22" spans="1:2" ht="30" customHeight="1" x14ac:dyDescent="0.25">
      <c r="A22" s="109" t="e">
        <f>IFERROR(VLOOKUP(B21,Matrix_Ref.Rea.Omsætning,7,FALSE),NA())</f>
        <v>#N/A</v>
      </c>
      <c r="B22" s="110"/>
    </row>
    <row r="23" spans="1:2" hidden="1" x14ac:dyDescent="0.25">
      <c r="A23" s="8" t="s">
        <v>48</v>
      </c>
      <c r="B23" s="24" t="str">
        <f>IFERROR(VLOOKUP(B21,Matrix_Ref.Rea.Omsætning,2,FALSE),"")</f>
        <v/>
      </c>
    </row>
    <row r="24" spans="1:2" hidden="1" x14ac:dyDescent="0.25">
      <c r="A24" s="8" t="s">
        <v>49</v>
      </c>
      <c r="B24" s="24" t="str">
        <f>IFERROR(VLOOKUP(B21,Matrix_Ref.Rea.Omsætning,3,FALSE),"")</f>
        <v/>
      </c>
    </row>
    <row r="25" spans="1:2" x14ac:dyDescent="0.25">
      <c r="A25" s="32" t="s">
        <v>95</v>
      </c>
      <c r="B25" s="14" t="s">
        <v>5</v>
      </c>
    </row>
    <row r="26" spans="1:2" x14ac:dyDescent="0.25">
      <c r="A26" s="32" t="s">
        <v>96</v>
      </c>
      <c r="B26" s="14" t="s">
        <v>5</v>
      </c>
    </row>
    <row r="27" spans="1:2" x14ac:dyDescent="0.25">
      <c r="A27" s="12" t="s">
        <v>31</v>
      </c>
      <c r="B27" s="25" t="str">
        <f>IFERROR(IF((B21="Vælg/Indtast"),"",IF(B21=VLOOKUP(B21,Matrix_Ref.Rea.Omsætning,1,FALSE),VLOOKUP(B21,Matrix_Ref.Rea.Omsætning,4,FALSE),"")),IF(AND(ISNUMBER(B25),B21=VLOOKUP(B21,Matrix_Ref.Rea.Omsætning,1,FALSE)),B25,""))</f>
        <v/>
      </c>
    </row>
    <row r="28" spans="1:2" x14ac:dyDescent="0.25">
      <c r="A28" s="12" t="s">
        <v>32</v>
      </c>
      <c r="B28" s="25" t="str">
        <f>IFERROR(IF((B21="Vælg/Indtast"),"",IF(B21=VLOOKUP(B21,Matrix_Ref.Rea.Omsætning,1,FALSE),VLOOKUP(B21,Matrix_Ref.Rea.Omsætning,5,FALSE),"")),IF(AND(ISNUMBER(B26),B21=VLOOKUP(B21,Matrix_Ref.Rea.Omsætning,1,FALSE)),B26,""))</f>
        <v/>
      </c>
    </row>
    <row r="29" spans="1:2" x14ac:dyDescent="0.25">
      <c r="A29" s="2" t="s">
        <v>30</v>
      </c>
      <c r="B29" s="58" t="str">
        <f>IFERROR(IF(B21="[Kan ikke vælges for denne kompensationsperiode]","Nej - benyt en gyldig periode",IF(YEARFRAC(B27,B28,4)&gt;=VLOOKUP(B21,Matrix_Ref.Rea.Omsætning,6,FALSE),"Ja","Nej - benyt en gyldig periode")),"")</f>
        <v/>
      </c>
    </row>
    <row r="30" spans="1:2" x14ac:dyDescent="0.25">
      <c r="A30" s="16" t="str">
        <f>IF(AND(ISNUMBER(B25)*ISNUMBER(B26)),CONCATENATE("Realiseret omsætning i alt i perioden ",(TEXT(B25,"dd-mm-åååå"))," til ",TEXT(B26,"dd-mm-åååå")),"Realiseret omsætning i alt i perioden")</f>
        <v>Realiseret omsætning i alt i perioden</v>
      </c>
      <c r="B30" s="1" t="s">
        <v>6</v>
      </c>
    </row>
    <row r="31" spans="1:2" x14ac:dyDescent="0.25">
      <c r="A31" s="77" t="s">
        <v>57</v>
      </c>
      <c r="B31" s="78" t="s">
        <v>6</v>
      </c>
    </row>
    <row r="32" spans="1:2" hidden="1" x14ac:dyDescent="0.25">
      <c r="A32" s="27" t="s">
        <v>50</v>
      </c>
      <c r="B32" s="15">
        <f>IFERROR(MAX(IF(B29="Ja",B31*(_xlfn.DAYS(B17,B16)+1)/(_xlfn.DAYS(B28,B27)+1)),0),"")</f>
        <v>0</v>
      </c>
    </row>
    <row r="33" spans="1:2" x14ac:dyDescent="0.25">
      <c r="A33" s="102"/>
      <c r="B33" s="102"/>
    </row>
    <row r="34" spans="1:2" ht="15.75" x14ac:dyDescent="0.25">
      <c r="A34" s="90" t="s">
        <v>86</v>
      </c>
      <c r="B34" s="91"/>
    </row>
    <row r="35" spans="1:2" ht="30" customHeight="1" x14ac:dyDescent="0.25">
      <c r="A35" s="103" t="s">
        <v>146</v>
      </c>
      <c r="B35" s="104"/>
    </row>
    <row r="36" spans="1:2" x14ac:dyDescent="0.25">
      <c r="A36" s="3" t="s">
        <v>7</v>
      </c>
      <c r="B36" s="30" t="s">
        <v>5</v>
      </c>
    </row>
    <row r="37" spans="1:2" x14ac:dyDescent="0.25">
      <c r="A37" s="113" t="e">
        <f>IFERROR(VLOOKUP(B36,Matrix_Ref.Rea.FasteOmkostninger,7,FALSE),NA())</f>
        <v>#N/A</v>
      </c>
      <c r="B37" s="114"/>
    </row>
    <row r="38" spans="1:2" hidden="1" x14ac:dyDescent="0.25">
      <c r="A38" s="8" t="s">
        <v>54</v>
      </c>
      <c r="B38" s="26" t="str">
        <f>IFERROR(VLOOKUP(B36,Matrix_Ref.Rea.FasteOmkostninger,2,FALSE),"")</f>
        <v/>
      </c>
    </row>
    <row r="39" spans="1:2" hidden="1" x14ac:dyDescent="0.25">
      <c r="A39" s="8" t="s">
        <v>55</v>
      </c>
      <c r="B39" s="26" t="str">
        <f>IFERROR(VLOOKUP(B36,Matrix_Ref.Rea.FasteOmkostninger,3,FALSE),"")</f>
        <v/>
      </c>
    </row>
    <row r="40" spans="1:2" x14ac:dyDescent="0.25">
      <c r="A40" s="32" t="s">
        <v>95</v>
      </c>
      <c r="B40" s="10" t="s">
        <v>5</v>
      </c>
    </row>
    <row r="41" spans="1:2" x14ac:dyDescent="0.25">
      <c r="A41" s="32" t="s">
        <v>96</v>
      </c>
      <c r="B41" s="22" t="s">
        <v>5</v>
      </c>
    </row>
    <row r="42" spans="1:2" x14ac:dyDescent="0.25">
      <c r="A42" s="12" t="s">
        <v>31</v>
      </c>
      <c r="B42" s="17" t="str">
        <f>IFERROR(IF((B36="Vælg/Indtast"),"",IF(B36=VLOOKUP(B36,Matrix_Ref.Rea.FasteOmkostninger,1,FALSE),VLOOKUP(B36,Matrix_Ref.Rea.FasteOmkostninger,4,FALSE),"")),IF(AND(ISNUMBER(B40),B36=VLOOKUP(B36,Matrix_Ref.Rea.FasteOmkostninger,1,FALSE)),B40,""))</f>
        <v/>
      </c>
    </row>
    <row r="43" spans="1:2" x14ac:dyDescent="0.25">
      <c r="A43" s="12" t="s">
        <v>32</v>
      </c>
      <c r="B43" s="17" t="str">
        <f>IFERROR(IF((B36="Vælg/Indtast"),"",IF(B36=VLOOKUP(B36,Matrix_Ref.Rea.FasteOmkostninger,1,FALSE),VLOOKUP(B36,Matrix_Ref.Rea.FasteOmkostninger,5,FALSE),"")),IF(AND(ISNUMBER(B41),B36=VLOOKUP(B36,Matrix_Ref.Rea.FasteOmkostninger,1,FALSE)),B41,""))</f>
        <v/>
      </c>
    </row>
    <row r="44" spans="1:2" x14ac:dyDescent="0.25">
      <c r="A44" s="12" t="s">
        <v>30</v>
      </c>
      <c r="B44" s="41" t="str">
        <f>IFERROR(IF(YEARFRAC(B42,B43,4)&gt;=VLOOKUP(B36,Matrix_Ref.Rea.FasteOmkostninger,6,FALSE),"Ja","Nej - benyt en gyldig periode"),"")</f>
        <v/>
      </c>
    </row>
    <row r="45" spans="1:2" x14ac:dyDescent="0.25">
      <c r="A45" s="40" t="s">
        <v>82</v>
      </c>
      <c r="B45" s="1" t="s">
        <v>6</v>
      </c>
    </row>
    <row r="46" spans="1:2" x14ac:dyDescent="0.25">
      <c r="A46" s="92"/>
      <c r="B46" s="92"/>
    </row>
    <row r="47" spans="1:2" ht="15.75" x14ac:dyDescent="0.25">
      <c r="A47" s="90" t="s">
        <v>72</v>
      </c>
      <c r="B47" s="91"/>
    </row>
    <row r="48" spans="1:2" x14ac:dyDescent="0.25">
      <c r="A48" s="3" t="str">
        <f>IF(B9="Vælg/Indtast","Faktisk omsætning i kompensationsperioden",CONCATENATE("Faktisk omsætning i kompensationsperioden ",TEXT(B16,"dd-mm-åååå")," til ",TEXT(B17,"dd-mm-åååå")))</f>
        <v>Faktisk omsætning i kompensationsperioden</v>
      </c>
      <c r="B48" s="1" t="s">
        <v>6</v>
      </c>
    </row>
    <row r="49" spans="1:2" x14ac:dyDescent="0.25">
      <c r="A49" s="3" t="str">
        <f>IF(B9="Vælg/Indtast","Faktisk kommerciel omsætning i kompensationsperioden",CONCATENATE("Faktisk kommerciel omsætning i kompensationsperioden ",TEXT(B16,"dd-mm-åååå")," til ",TEXT(B17,"dd-mm-åååå")))</f>
        <v>Faktisk kommerciel omsætning i kompensationsperioden</v>
      </c>
      <c r="B49" s="1" t="s">
        <v>6</v>
      </c>
    </row>
    <row r="50" spans="1:2" x14ac:dyDescent="0.25">
      <c r="A50" s="31" t="s">
        <v>73</v>
      </c>
      <c r="B50" s="63" t="s">
        <v>6</v>
      </c>
    </row>
    <row r="51" spans="1:2" x14ac:dyDescent="0.25">
      <c r="A51" s="12" t="s">
        <v>111</v>
      </c>
      <c r="B51" s="60" t="str">
        <f>IFERROR((B32-IF(B15="Ja",B50,B49))/B32,"")</f>
        <v/>
      </c>
    </row>
    <row r="52" spans="1:2" x14ac:dyDescent="0.25">
      <c r="A52" s="2" t="s">
        <v>20</v>
      </c>
      <c r="B52" s="4" t="str">
        <f>IFERROR(IF(B15="Ja",VLOOKUP(B51,Trappemodel1forbud,3,TRUE),VLOOKUP(B51,Trappemodel1,3,TRUE)),"")</f>
        <v/>
      </c>
    </row>
    <row r="53" spans="1:2" x14ac:dyDescent="0.25">
      <c r="A53" s="97" t="e">
        <f>IF(B51&lt;Trappemodel!A3,CONCATENATE("Den kommercielle omsætningsnedgang er mindre end minimumskravet på ",Trappemodel!A3*100," %. Institutionen er derfor ikke berettiget til kompensation."),NA())</f>
        <v>#N/A</v>
      </c>
      <c r="B53" s="98"/>
    </row>
    <row r="54" spans="1:2" x14ac:dyDescent="0.25">
      <c r="A54" s="66" t="s">
        <v>21</v>
      </c>
      <c r="B54" s="67" t="str">
        <f>IFERROR(B31/B30,"")</f>
        <v/>
      </c>
    </row>
    <row r="55" spans="1:2" x14ac:dyDescent="0.25">
      <c r="A55" s="101"/>
      <c r="B55" s="101"/>
    </row>
    <row r="56" spans="1:2" ht="15.75" x14ac:dyDescent="0.25">
      <c r="A56" s="90" t="s">
        <v>75</v>
      </c>
      <c r="B56" s="91"/>
    </row>
    <row r="57" spans="1:2" x14ac:dyDescent="0.25">
      <c r="A57" s="130" t="str">
        <f>IF(B9="Vælg/Indtast","Oplys faktiske faste omkostninger i kompensationsperioden herunder",CONCATENATE("Oplys faktiske faste omkostninger i kompensationsperioden ",TEXT(B16,"dd-mm-åååå")," til ",TEXT(B17,"dd-mm-åååå")," herunder"))</f>
        <v>Oplys faktiske faste omkostninger i kompensationsperioden herunder</v>
      </c>
      <c r="B57" s="131"/>
    </row>
    <row r="58" spans="1:2" x14ac:dyDescent="0.25">
      <c r="A58" s="5" t="s">
        <v>8</v>
      </c>
      <c r="B58" s="1" t="s">
        <v>6</v>
      </c>
    </row>
    <row r="59" spans="1:2" x14ac:dyDescent="0.25">
      <c r="A59" s="5" t="s">
        <v>9</v>
      </c>
      <c r="B59" s="1" t="s">
        <v>6</v>
      </c>
    </row>
    <row r="60" spans="1:2" x14ac:dyDescent="0.25">
      <c r="A60" s="5" t="s">
        <v>10</v>
      </c>
      <c r="B60" s="1" t="s">
        <v>6</v>
      </c>
    </row>
    <row r="61" spans="1:2" ht="15" customHeight="1" x14ac:dyDescent="0.25">
      <c r="A61" s="5" t="s">
        <v>11</v>
      </c>
      <c r="B61" s="1" t="s">
        <v>6</v>
      </c>
    </row>
    <row r="62" spans="1:2" ht="15" customHeight="1" x14ac:dyDescent="0.25">
      <c r="A62" s="21" t="s">
        <v>12</v>
      </c>
      <c r="B62" s="1" t="s">
        <v>6</v>
      </c>
    </row>
    <row r="63" spans="1:2" x14ac:dyDescent="0.25">
      <c r="A63" s="5" t="s">
        <v>13</v>
      </c>
      <c r="B63" s="1" t="s">
        <v>6</v>
      </c>
    </row>
    <row r="64" spans="1:2" x14ac:dyDescent="0.25">
      <c r="A64" s="5" t="s">
        <v>14</v>
      </c>
      <c r="B64" s="1" t="s">
        <v>6</v>
      </c>
    </row>
    <row r="65" spans="1:2" ht="15" customHeight="1" x14ac:dyDescent="0.25">
      <c r="A65" s="5" t="s">
        <v>15</v>
      </c>
      <c r="B65" s="1" t="s">
        <v>6</v>
      </c>
    </row>
    <row r="66" spans="1:2" ht="30" customHeight="1" x14ac:dyDescent="0.25">
      <c r="A66" s="95" t="e">
        <f>IF(B65/B67&gt;0.2,"Ansøger skal indsende en udspecificeret liste over faktiske de øvrige faste omkostninger i kompensationsperioden.",NA())</f>
        <v>#VALUE!</v>
      </c>
      <c r="B66" s="96"/>
    </row>
    <row r="67" spans="1:2" x14ac:dyDescent="0.25">
      <c r="A67" s="2" t="s">
        <v>75</v>
      </c>
      <c r="B67" s="45" t="str">
        <f>IF(SUM(B58:B65)=0,"",SUM(B58:B65))</f>
        <v/>
      </c>
    </row>
    <row r="68" spans="1:2" x14ac:dyDescent="0.25">
      <c r="A68" s="2" t="s">
        <v>98</v>
      </c>
      <c r="B68" s="4" t="str">
        <f>IFERROR(IF(AND(ISNUMBER(B45),ISNUMBER(B67)),(B67*(_xlfn.DAYS(B43,B42)+1)/(_xlfn.DAYS(B17,B16)+1)-B45)/B45,""),"")</f>
        <v/>
      </c>
    </row>
    <row r="69" spans="1:2" x14ac:dyDescent="0.25">
      <c r="A69" s="128" t="str">
        <f>IFERROR(IF(ISNUMBER(B68),IF(B68&gt;0.1,"Ansøger skal vedlægge et bilag, der forklarer, hvad afvigelsen på over 10 pct. skyldes, og hvorfor den ikke kunne afværges.",""),""),"")</f>
        <v/>
      </c>
      <c r="B69" s="129"/>
    </row>
    <row r="70" spans="1:2" ht="15" customHeight="1" x14ac:dyDescent="0.25">
      <c r="A70" s="59" t="s">
        <v>97</v>
      </c>
      <c r="B70" s="1" t="s">
        <v>6</v>
      </c>
    </row>
    <row r="71" spans="1:2" x14ac:dyDescent="0.25">
      <c r="A71" s="2" t="s">
        <v>99</v>
      </c>
      <c r="B71" s="60" t="str">
        <f>IFERROR(IF(AND(ISNUMBER(B67),ISNUMBER(B70)),(B67-B70)/B70,""),"")</f>
        <v/>
      </c>
    </row>
    <row r="72" spans="1:2" x14ac:dyDescent="0.25">
      <c r="A72" s="95" t="e">
        <f>IFERROR(IF(ISNUMBER(B71),IF(B71&gt;0.1,"Ansøger skal vedlægge et bilag, der forklarer, hvad afvigelsen på over 10 pct. fra ansøgningstidspunktet skyldes.",NA()),NA()),NA())</f>
        <v>#N/A</v>
      </c>
      <c r="B72" s="96"/>
    </row>
    <row r="73" spans="1:2" hidden="1" x14ac:dyDescent="0.25">
      <c r="A73" s="6" t="s">
        <v>76</v>
      </c>
      <c r="B73" s="7">
        <f>IFERROR(MAX(IF(ISNUMBER(B67),B67*IF(B13="Intet åbningsforbud",0,(_xlfn.DAYS(MIN(B11,B14),MAX(B10,B13))+1))/(_xlfn.DAYS(B17,B16)+1)*IF(B50=0,1,B52)*B54,0)),"")</f>
        <v>0</v>
      </c>
    </row>
    <row r="74" spans="1:2" hidden="1" x14ac:dyDescent="0.25">
      <c r="A74" s="8" t="s">
        <v>77</v>
      </c>
      <c r="B74" s="7">
        <f>IFERROR(IF(B15="Ja",0,MAX(B67*IF(B13="Intet åbningsforbud",1,((_xlfn.DAYS(B11,B10)+1)-IF(AND(ISNUMBER(B13),ISNUMBER(B14)),(_xlfn.DAYS(B14,B13)+1)))/(_xlfn.DAYS(B11,B10)+1))*B52*B54,0)),0)</f>
        <v>0</v>
      </c>
    </row>
    <row r="75" spans="1:2" hidden="1" x14ac:dyDescent="0.25">
      <c r="A75" s="8" t="s">
        <v>104</v>
      </c>
      <c r="B75" s="64" t="str">
        <f>IFERROR(IF(B67*B54&lt;4000/30*_xlfn.DAYS(B17,B16),"Nej","Ja"),"")</f>
        <v/>
      </c>
    </row>
    <row r="76" spans="1:2" hidden="1" x14ac:dyDescent="0.25">
      <c r="A76" s="8" t="s">
        <v>78</v>
      </c>
      <c r="B76" s="7">
        <f>IFERROR(MAX(IF(B15="Ja",B73,IF(OR(B49="",B49="Indtast beløb"),"",B73+B74)),0),0)</f>
        <v>0</v>
      </c>
    </row>
    <row r="77" spans="1:2" hidden="1" x14ac:dyDescent="0.25">
      <c r="A77" s="8" t="s">
        <v>105</v>
      </c>
      <c r="B77" s="64" t="str">
        <f>IFERROR(IF((B73+B74)&gt;(B32-IF(B15="Ja",B50,B49)),"Ja","Nej"),"")</f>
        <v/>
      </c>
    </row>
    <row r="78" spans="1:2" ht="30" customHeight="1" x14ac:dyDescent="0.25">
      <c r="A78" s="86" t="e">
        <f>IF(B75="Nej","De faste omkostningers andel af de kommercielle indtægters andel af de samlede indtægter i kompensationsperioden opfylder ikke minimumskravet. Der kan derfor ikke udbetales kompensation.",NA())</f>
        <v>#N/A</v>
      </c>
      <c r="B78" s="87"/>
    </row>
    <row r="79" spans="1:2" ht="30" customHeight="1" x14ac:dyDescent="0.25">
      <c r="A79" s="99" t="e">
        <f>IF(B77="Ja","Den nominelle nedgang i kommerciel omsætning er sat som loft",NA())</f>
        <v>#N/A</v>
      </c>
      <c r="B79" s="100"/>
    </row>
    <row r="80" spans="1:2" ht="15" customHeight="1" x14ac:dyDescent="0.25">
      <c r="A80" s="66" t="s">
        <v>113</v>
      </c>
      <c r="B80" s="85" t="str">
        <f>IFERROR(IF(OR(ISTEXT(A53),ISTEXT(A78)),0,IF(B75="Ja",IF(B77="Ja",B32-IF(B15="Ja",B50,B49),MAX(B73+B74,0)),"")),"")</f>
        <v/>
      </c>
    </row>
    <row r="81" spans="1:8" hidden="1" x14ac:dyDescent="0.25">
      <c r="A81" s="6" t="s">
        <v>33</v>
      </c>
      <c r="B81" s="7">
        <f>IFERROR(B80*(B73/B76),0)</f>
        <v>0</v>
      </c>
    </row>
    <row r="82" spans="1:8" hidden="1" x14ac:dyDescent="0.25">
      <c r="A82" s="18" t="s">
        <v>106</v>
      </c>
      <c r="B82" s="19">
        <f>IFERROR(B80*(B74/B76),0)</f>
        <v>0</v>
      </c>
    </row>
    <row r="83" spans="1:8" x14ac:dyDescent="0.25">
      <c r="A83" s="93"/>
      <c r="B83" s="93"/>
    </row>
    <row r="84" spans="1:8" ht="15.75" x14ac:dyDescent="0.25">
      <c r="A84" s="126" t="s">
        <v>91</v>
      </c>
      <c r="B84" s="127"/>
    </row>
    <row r="85" spans="1:8" ht="90" customHeight="1" x14ac:dyDescent="0.25">
      <c r="A85" s="122" t="s">
        <v>145</v>
      </c>
      <c r="B85" s="123"/>
    </row>
    <row r="86" spans="1:8" ht="30" x14ac:dyDescent="0.25">
      <c r="A86" s="71" t="s">
        <v>114</v>
      </c>
      <c r="B86" s="73" t="s">
        <v>5</v>
      </c>
    </row>
    <row r="87" spans="1:8" x14ac:dyDescent="0.25">
      <c r="A87" s="74" t="s">
        <v>107</v>
      </c>
      <c r="B87" s="75" t="s">
        <v>5</v>
      </c>
    </row>
    <row r="88" spans="1:8" x14ac:dyDescent="0.25">
      <c r="A88" s="31" t="s">
        <v>108</v>
      </c>
      <c r="B88" s="63" t="s">
        <v>6</v>
      </c>
    </row>
    <row r="89" spans="1:8" ht="15" customHeight="1" x14ac:dyDescent="0.25">
      <c r="A89" s="71" t="s">
        <v>92</v>
      </c>
      <c r="B89" s="73" t="s">
        <v>5</v>
      </c>
    </row>
    <row r="90" spans="1:8" x14ac:dyDescent="0.25">
      <c r="A90" s="71" t="s">
        <v>89</v>
      </c>
      <c r="B90" s="73" t="s">
        <v>5</v>
      </c>
    </row>
    <row r="91" spans="1:8" ht="30" x14ac:dyDescent="0.25">
      <c r="A91" s="71" t="s">
        <v>90</v>
      </c>
      <c r="B91" s="73" t="s">
        <v>5</v>
      </c>
    </row>
    <row r="92" spans="1:8" ht="15" customHeight="1" x14ac:dyDescent="0.25">
      <c r="A92" s="124" t="e">
        <f>IF(AND(B89="Ja",OR(B90="Ja",B91="Ja")),"Ansøger skal indsende dokumentation for, at 2019 resultatet er negativt som følge af ekstraordinære omstændigheder",IF(AND(B89="Ja",B90="Nej",B91="Nej"),"Det er ikke muligt at få underskuddet vurderet under ekstraordinære omstændigheder.",NA()))</f>
        <v>#N/A</v>
      </c>
      <c r="B92" s="125"/>
    </row>
    <row r="93" spans="1:8" ht="15" customHeight="1" x14ac:dyDescent="0.25">
      <c r="A93" s="71" t="s">
        <v>115</v>
      </c>
      <c r="B93" s="63" t="s">
        <v>6</v>
      </c>
    </row>
    <row r="94" spans="1:8" hidden="1" x14ac:dyDescent="0.25">
      <c r="A94" s="33" t="s">
        <v>29</v>
      </c>
      <c r="B94" s="34" t="s">
        <v>5</v>
      </c>
      <c r="H94" s="62"/>
    </row>
    <row r="95" spans="1:8" hidden="1" x14ac:dyDescent="0.25">
      <c r="A95" s="35" t="s">
        <v>117</v>
      </c>
      <c r="B95" s="36" t="str">
        <f>IFERROR(IF(B80=0,0,IF(AND(B86="Ja",ISNUMBER(B88),B87&lt;&gt;"Vælg/Indtast"),IF(AND(B89="Ja",OR(B90="Ja",B91="Ja"),B94="Ja"),"",IF(ISNUMBER(B88),B88*VLOOKUP(B87,Matrix_UnderskudFør,2,FALSE)*((_xlfn.DAYS(B14,B13)+1)/365)*IF(AND(ISNUMBER(B13),B50=0),1,B52)*B54)),"")),"")</f>
        <v/>
      </c>
    </row>
    <row r="96" spans="1:8" hidden="1" x14ac:dyDescent="0.25">
      <c r="A96" s="69" t="s">
        <v>118</v>
      </c>
      <c r="B96" s="65" t="e">
        <f>IFERROR(IF(B95,0,IF(ISNUMBER(B95),ABS(B95)/B81,NA())),NA())</f>
        <v>#N/A</v>
      </c>
    </row>
    <row r="97" spans="1:2" ht="45" customHeight="1" x14ac:dyDescent="0.25">
      <c r="A97" s="86" t="e">
        <f>IF(B96&gt;0.5,"Reduktionen er mere end 50 % af kompensationsbeløbet. Slots- og Kulturstyrelsen kan efter vurdering af institutionens faktiske resultat og variable omkostninger i perioden fastholde en udbetaling på 50 % af kompensationsbeløbet.",NA())</f>
        <v>#N/A</v>
      </c>
      <c r="B97" s="87"/>
    </row>
    <row r="98" spans="1:2" x14ac:dyDescent="0.25">
      <c r="A98" s="71" t="s">
        <v>116</v>
      </c>
      <c r="B98" s="63" t="s">
        <v>6</v>
      </c>
    </row>
    <row r="99" spans="1:2" hidden="1" x14ac:dyDescent="0.25">
      <c r="A99" s="33" t="s">
        <v>119</v>
      </c>
      <c r="B99" s="20">
        <f>IFERROR(MAX(IF(ISNUMBER(B48),B48*IF(B13="Intet åbningsforbud",0,(_xlfn.DAYS(B14,B13)+1))/(_xlfn.DAYS(B17,B16)+1),0),0),"")</f>
        <v>0</v>
      </c>
    </row>
    <row r="100" spans="1:2" hidden="1" x14ac:dyDescent="0.25">
      <c r="A100" s="33" t="s">
        <v>120</v>
      </c>
      <c r="B100" s="20">
        <f>IFERROR(MAX(IF(AND(ISNUMBER(B67),ISNUMBER(B73)),B73/(IF(B13="Intet åbningsforbud",0,(_xlfn.DAYS(B14,B13)+1))/(_xlfn.DAYS(B17,B16)+1)*B54),0),0),0)</f>
        <v>0</v>
      </c>
    </row>
    <row r="101" spans="1:2" ht="30" hidden="1" x14ac:dyDescent="0.25">
      <c r="A101" s="35" t="s">
        <v>121</v>
      </c>
      <c r="B101" s="36" t="str">
        <f>IFERROR(IF(B96&gt;0.5,B99-B100-B98,0),"")</f>
        <v/>
      </c>
    </row>
    <row r="102" spans="1:2" hidden="1" x14ac:dyDescent="0.25">
      <c r="A102" s="35" t="s">
        <v>34</v>
      </c>
      <c r="B102" s="36" t="str">
        <f>IF(AND(ISNUMBER(B101),ISNUMBER(B93)),B93-B101,"")</f>
        <v/>
      </c>
    </row>
    <row r="103" spans="1:2" hidden="1" x14ac:dyDescent="0.25">
      <c r="A103" s="35" t="s">
        <v>35</v>
      </c>
      <c r="B103" s="37" t="str">
        <f>IFERROR(IF(ISNUMBER(B102),(B93-B101)/B93,""),1)</f>
        <v/>
      </c>
    </row>
    <row r="104" spans="1:2" ht="45" hidden="1" x14ac:dyDescent="0.25">
      <c r="A104" s="35" t="s">
        <v>122</v>
      </c>
      <c r="B104" s="38" t="str">
        <f>IFERROR(IF(OR(ABS(B102)&gt;100000,ABS(B103)&gt;0.1),"Nej","Ja"),"")</f>
        <v/>
      </c>
    </row>
    <row r="105" spans="1:2" ht="45" hidden="1" x14ac:dyDescent="0.25">
      <c r="A105" s="35" t="s">
        <v>123</v>
      </c>
      <c r="B105" s="38" t="str">
        <f>IF(B104="Ja",IF(B93+B80*0.5&lt;B88*_xlfn.DAYS(B14,B13)+1/(365/VLOOKUP(B87,Matrix_UnderskudFør,2,FALSE)),"Ja","Nej"),"")</f>
        <v/>
      </c>
    </row>
    <row r="106" spans="1:2" ht="30" x14ac:dyDescent="0.25">
      <c r="A106" s="71" t="s">
        <v>124</v>
      </c>
      <c r="B106" s="72" t="str">
        <f>IFERROR(IF(B104="","",IF(AND(ISNUMBER(B96),B96&gt;0.5),IF(B104="Nej","Nej",IF(AND(B104="Ja",B105="Nej"),"Nej",IF(AND(B104="Ja",B105="Ja"),"Ja"))),"")),"")</f>
        <v/>
      </c>
    </row>
    <row r="107" spans="1:2" hidden="1" x14ac:dyDescent="0.25">
      <c r="A107" s="35" t="s">
        <v>84</v>
      </c>
      <c r="B107" s="20" t="str">
        <f>IFERROR(MAX(0,MIN(((B88*VLOOKUP(B87,Matrix_UnderskudFør,2,FALSE)/365)-(B93/(_xlfn.DAYS(B17,B16)+1)))*(_xlfn.DAYS(B17,B16)+1)),B81)+B82,"")</f>
        <v/>
      </c>
    </row>
    <row r="108" spans="1:2" hidden="1" x14ac:dyDescent="0.25">
      <c r="A108" s="35" t="s">
        <v>85</v>
      </c>
      <c r="B108" s="20" t="str">
        <f>IF(AND(ISNUMBER(B95),B94&lt;&gt;"Ja"),IF(ABS(B96)&lt;=0.5,B80-ABS(B95),IF(AND(ABS(B96)&gt;0.5,B106="Nej"),B80-ABS(B95),IF(AND(ABS(B96)&gt;0.5,B106="Ja"),B80*0.5))),"")</f>
        <v/>
      </c>
    </row>
    <row r="109" spans="1:2" x14ac:dyDescent="0.25">
      <c r="A109" s="70" t="s">
        <v>87</v>
      </c>
      <c r="B109" s="84" t="str">
        <f>IF(AND(ISNUMBER(B107),ISNUMBER(B108)),MAX(B107,B108),"")</f>
        <v/>
      </c>
    </row>
    <row r="110" spans="1:2" x14ac:dyDescent="0.25">
      <c r="A110" s="94"/>
      <c r="B110" s="94"/>
    </row>
    <row r="111" spans="1:2" ht="15.75" hidden="1" x14ac:dyDescent="0.25">
      <c r="A111" s="90" t="s">
        <v>59</v>
      </c>
      <c r="B111" s="91"/>
    </row>
    <row r="112" spans="1:2" ht="45" hidden="1" customHeight="1" x14ac:dyDescent="0.25">
      <c r="A112" s="88" t="s">
        <v>93</v>
      </c>
      <c r="B112" s="89"/>
    </row>
    <row r="113" spans="1:2" hidden="1" x14ac:dyDescent="0.25">
      <c r="A113" s="11" t="s">
        <v>16</v>
      </c>
      <c r="B113" s="61" t="s">
        <v>6</v>
      </c>
    </row>
    <row r="114" spans="1:2" hidden="1" x14ac:dyDescent="0.25">
      <c r="A114" s="13" t="s">
        <v>17</v>
      </c>
      <c r="B114" s="83">
        <f>IFERROR(IF(B12&gt;250000,0,IF(B113*0.8&gt;16000,16000,B113*0.8)),0)</f>
        <v>0</v>
      </c>
    </row>
    <row r="115" spans="1:2" hidden="1" x14ac:dyDescent="0.25">
      <c r="A115" s="115"/>
      <c r="B115" s="115"/>
    </row>
    <row r="116" spans="1:2" ht="30" x14ac:dyDescent="0.25">
      <c r="A116" s="39" t="s">
        <v>79</v>
      </c>
      <c r="B116" s="82" t="str">
        <f>IFERROR(IF(AND(B86="Ja",B94&lt;&gt;"Ja"),IF(ISNUMBER(B109),B109+B114,""),IF(ISNUMBER(B80),B80+B114,"")),"")</f>
        <v/>
      </c>
    </row>
    <row r="117" spans="1:2" hidden="1" x14ac:dyDescent="0.25">
      <c r="A117" s="42" t="s">
        <v>83</v>
      </c>
      <c r="B117" s="43" t="str">
        <f>IFERROR(IF(AND(ISNUMBER(B12),ISNUMBER(B67)),IF(AND(B116-B12&lt;=0,B116-B12&gt;=-200),0,B116-B12),""),"")</f>
        <v/>
      </c>
    </row>
    <row r="118" spans="1:2" ht="15.75" thickBot="1" x14ac:dyDescent="0.3">
      <c r="A118" s="86" t="e">
        <f>IF(AND(B116-B12&lt;=0,B116-B12&gt;=-200),"Da afvigelsen er på mindre end 200 kr., kræves der ikke tilbagebetaling",NA())</f>
        <v>#VALUE!</v>
      </c>
      <c r="B118" s="87"/>
    </row>
    <row r="119" spans="1:2" ht="15" customHeight="1" x14ac:dyDescent="0.25">
      <c r="A119" s="116" t="str">
        <f>IF(OR(B117=0,B117=""),"BELØB TIL UD-/TILBAGEBETALING FOR EFTERREGULERING",IF(B117&gt;0,"BELØB TIL UDBETALING FOR EFTERREGULERING",IF(B117&lt;0,"BELØB TIL TILBAGEBETALING FOR EFTERREGULERING")))</f>
        <v>BELØB TIL UD-/TILBAGEBETALING FOR EFTERREGULERING</v>
      </c>
      <c r="B119" s="117"/>
    </row>
    <row r="120" spans="1:2" ht="19.5" thickBot="1" x14ac:dyDescent="0.35">
      <c r="A120" s="118" t="str">
        <f>IF(B117&lt;0,MAX(B117*-1,B12*-1),B117)</f>
        <v/>
      </c>
      <c r="B120" s="119"/>
    </row>
  </sheetData>
  <sheetProtection algorithmName="SHA-512" hashValue="dbK9MCoZ3DP8htT4Imbnw0t19KL9vjy3LdUABfwLBxfmUD/f9ofcRZhwLiz7U7eb0F7do3E/C9ahrLIkSNVCBQ==" saltValue="PVkbcm+7qRU9HEIqjPmgrg==" spinCount="100000" sheet="1" selectLockedCells="1"/>
  <mergeCells count="37">
    <mergeCell ref="A37:B37"/>
    <mergeCell ref="A115:B115"/>
    <mergeCell ref="A119:B119"/>
    <mergeCell ref="A120:B120"/>
    <mergeCell ref="A2:B2"/>
    <mergeCell ref="A85:B85"/>
    <mergeCell ref="A92:B92"/>
    <mergeCell ref="A97:B97"/>
    <mergeCell ref="A4:B4"/>
    <mergeCell ref="A19:B19"/>
    <mergeCell ref="A56:B56"/>
    <mergeCell ref="A84:B84"/>
    <mergeCell ref="A66:B66"/>
    <mergeCell ref="A69:B69"/>
    <mergeCell ref="A57:B57"/>
    <mergeCell ref="A47:B47"/>
    <mergeCell ref="A33:B33"/>
    <mergeCell ref="A20:B20"/>
    <mergeCell ref="A34:B34"/>
    <mergeCell ref="A1:B1"/>
    <mergeCell ref="A35:B35"/>
    <mergeCell ref="A8:B8"/>
    <mergeCell ref="A22:B22"/>
    <mergeCell ref="A7:B7"/>
    <mergeCell ref="A3:B3"/>
    <mergeCell ref="A18:B18"/>
    <mergeCell ref="A118:B118"/>
    <mergeCell ref="A112:B112"/>
    <mergeCell ref="A111:B111"/>
    <mergeCell ref="A46:B46"/>
    <mergeCell ref="A83:B83"/>
    <mergeCell ref="A110:B110"/>
    <mergeCell ref="A72:B72"/>
    <mergeCell ref="A53:B53"/>
    <mergeCell ref="A78:B78"/>
    <mergeCell ref="A79:B79"/>
    <mergeCell ref="A55:B55"/>
  </mergeCells>
  <conditionalFormatting sqref="A50">
    <cfRule type="expression" dxfId="38" priority="101">
      <formula>$B$13="Vælg/Indtast"</formula>
    </cfRule>
    <cfRule type="expression" dxfId="37" priority="107">
      <formula>$B$13&lt;&gt;"Intet åbningsforbud"</formula>
    </cfRule>
  </conditionalFormatting>
  <conditionalFormatting sqref="B38">
    <cfRule type="expression" dxfId="36" priority="96">
      <formula>$B$36="Institution stiftet efter 1. nov. 2019"</formula>
    </cfRule>
  </conditionalFormatting>
  <conditionalFormatting sqref="B39">
    <cfRule type="expression" dxfId="35" priority="92">
      <formula>$B$38="Fra stiftelsesdato til og med den 9. marts 2020"</formula>
    </cfRule>
  </conditionalFormatting>
  <conditionalFormatting sqref="A73:A75">
    <cfRule type="expression" dxfId="34" priority="90">
      <formula>#REF!="Nystartet institution"</formula>
    </cfRule>
  </conditionalFormatting>
  <conditionalFormatting sqref="A81:A83">
    <cfRule type="expression" dxfId="33" priority="88">
      <formula>#REF!="Nystartet institution"</formula>
    </cfRule>
  </conditionalFormatting>
  <conditionalFormatting sqref="A14:B15">
    <cfRule type="expression" dxfId="32" priority="84">
      <formula>ISNUMBER($B$13)</formula>
    </cfRule>
  </conditionalFormatting>
  <conditionalFormatting sqref="A55">
    <cfRule type="expression" dxfId="31" priority="73">
      <formula>#REF!="Ja"</formula>
    </cfRule>
  </conditionalFormatting>
  <conditionalFormatting sqref="A69:B69">
    <cfRule type="expression" dxfId="30" priority="63">
      <formula>$A$69="Ansøger skal vedlægge et bilag, der forklarer, hvad afvigelsen på over 10 pct. skyldes, og hvorfor den ikke kunne afværges."</formula>
    </cfRule>
  </conditionalFormatting>
  <conditionalFormatting sqref="A27:A28 A42:A43">
    <cfRule type="expression" dxfId="29" priority="60">
      <formula>$B$21="Vælg/Indtast"</formula>
    </cfRule>
  </conditionalFormatting>
  <conditionalFormatting sqref="A25:B25">
    <cfRule type="expression" dxfId="28" priority="164">
      <formula>$B$23=VLOOKUP($B$21,Matrix_Ref.Rea.Omsætning,2,FALSE)</formula>
    </cfRule>
  </conditionalFormatting>
  <conditionalFormatting sqref="A26:B26">
    <cfRule type="expression" dxfId="27" priority="165">
      <formula>$B$24=VLOOKUP($B$21,Matrix_Ref.Rea.Omsætning,3,FALSE)</formula>
    </cfRule>
  </conditionalFormatting>
  <conditionalFormatting sqref="A52:B52">
    <cfRule type="expression" dxfId="26" priority="46">
      <formula>$B$15="Ja"</formula>
    </cfRule>
  </conditionalFormatting>
  <conditionalFormatting sqref="A13:B13">
    <cfRule type="expression" dxfId="25" priority="42">
      <formula>NOT($B$9="Vælg/Indtast")</formula>
    </cfRule>
  </conditionalFormatting>
  <conditionalFormatting sqref="B50">
    <cfRule type="expression" dxfId="24" priority="41">
      <formula>ISNUMBER($B$13)</formula>
    </cfRule>
  </conditionalFormatting>
  <conditionalFormatting sqref="A119:B120">
    <cfRule type="expression" dxfId="23" priority="36">
      <formula>OR($B$117=0,$B$117="")</formula>
    </cfRule>
    <cfRule type="expression" dxfId="22" priority="37">
      <formula>$B$117&gt;0</formula>
    </cfRule>
    <cfRule type="expression" dxfId="21" priority="38">
      <formula>$B$117&lt;0</formula>
    </cfRule>
  </conditionalFormatting>
  <conditionalFormatting sqref="A66">
    <cfRule type="expression" dxfId="20" priority="25">
      <formula>ISTEXT($A$66)</formula>
    </cfRule>
  </conditionalFormatting>
  <conditionalFormatting sqref="A22:B22">
    <cfRule type="expression" dxfId="19" priority="21">
      <formula>ISTEXT($A$22)</formula>
    </cfRule>
  </conditionalFormatting>
  <conditionalFormatting sqref="A72">
    <cfRule type="expression" dxfId="18" priority="18">
      <formula>ISTEXT($A$72)</formula>
    </cfRule>
  </conditionalFormatting>
  <conditionalFormatting sqref="A53:B53">
    <cfRule type="expression" dxfId="17" priority="17">
      <formula>ISTEXT($A$53)</formula>
    </cfRule>
  </conditionalFormatting>
  <conditionalFormatting sqref="A113:B114">
    <cfRule type="expression" dxfId="16" priority="15">
      <formula>"HVIS(ER.TEKST(B107);B77;B107)&gt;250000"</formula>
    </cfRule>
  </conditionalFormatting>
  <conditionalFormatting sqref="A78">
    <cfRule type="expression" dxfId="15" priority="14">
      <formula>ISTEXT($A$78)</formula>
    </cfRule>
  </conditionalFormatting>
  <conditionalFormatting sqref="A79:B79">
    <cfRule type="expression" dxfId="14" priority="13">
      <formula>ISTEXT($A$79)</formula>
    </cfRule>
  </conditionalFormatting>
  <conditionalFormatting sqref="A97:B97">
    <cfRule type="expression" dxfId="13" priority="12">
      <formula>ISTEXT($A$97)</formula>
    </cfRule>
  </conditionalFormatting>
  <conditionalFormatting sqref="A98:B98">
    <cfRule type="expression" dxfId="12" priority="11">
      <formula>$B$96&gt;0.5</formula>
    </cfRule>
  </conditionalFormatting>
  <conditionalFormatting sqref="A106:B106">
    <cfRule type="expression" dxfId="11" priority="10">
      <formula>$B$96&gt;0.5</formula>
    </cfRule>
  </conditionalFormatting>
  <conditionalFormatting sqref="A91:B91">
    <cfRule type="expression" dxfId="10" priority="9">
      <formula>$B$90="Nej"</formula>
    </cfRule>
  </conditionalFormatting>
  <conditionalFormatting sqref="A90:B90">
    <cfRule type="expression" dxfId="9" priority="8">
      <formula>$B$89="Ja"</formula>
    </cfRule>
  </conditionalFormatting>
  <conditionalFormatting sqref="A87:B89 A93:B93">
    <cfRule type="expression" dxfId="8" priority="7">
      <formula>$B$86="Ja"</formula>
    </cfRule>
  </conditionalFormatting>
  <conditionalFormatting sqref="A109:B109">
    <cfRule type="expression" dxfId="7" priority="6">
      <formula>$B$86="Ja"</formula>
    </cfRule>
  </conditionalFormatting>
  <conditionalFormatting sqref="A92:B92">
    <cfRule type="expression" dxfId="6" priority="5">
      <formula>ISTEXT($A$92)</formula>
    </cfRule>
  </conditionalFormatting>
  <conditionalFormatting sqref="A37:B37">
    <cfRule type="expression" dxfId="5" priority="4">
      <formula>ISTEXT($A$37)</formula>
    </cfRule>
  </conditionalFormatting>
  <conditionalFormatting sqref="A86:B86">
    <cfRule type="expression" dxfId="4" priority="3">
      <formula>AND(ISNUMBER($B$13),$B$50=0)</formula>
    </cfRule>
  </conditionalFormatting>
  <conditionalFormatting sqref="A40:B40">
    <cfRule type="expression" dxfId="3" priority="166">
      <formula>$B$38=VLOOKUP($B$36,Matrix_Ref.Rea.FasteOmkostninger,2,FALSE)</formula>
    </cfRule>
  </conditionalFormatting>
  <conditionalFormatting sqref="A41:B41">
    <cfRule type="expression" dxfId="2" priority="167">
      <formula>$B$39=VLOOKUP($B$36,Matrix_Ref.Rea.FasteOmkostninger,3,FALSE)</formula>
    </cfRule>
  </conditionalFormatting>
  <conditionalFormatting sqref="A49:B49">
    <cfRule type="expression" dxfId="1" priority="2">
      <formula>$B$15="Ja"</formula>
    </cfRule>
  </conditionalFormatting>
  <conditionalFormatting sqref="A118:B118">
    <cfRule type="expression" dxfId="0" priority="1">
      <formula>ISTEXT($A$118)</formula>
    </cfRule>
  </conditionalFormatting>
  <dataValidations count="17">
    <dataValidation type="list" showInputMessage="1" showErrorMessage="1" errorTitle="Ugyldig indtastning" error="Der skal vælges en valgmulighed fra rullemenuen." sqref="B13">
      <formula1>ÅbningsforbudFørsteDag</formula1>
    </dataValidation>
    <dataValidation type="list" allowBlank="1" showInputMessage="1" showErrorMessage="1" sqref="B94">
      <formula1>NegativtResultat</formula1>
    </dataValidation>
    <dataValidation type="decimal" operator="greaterThanOrEqual" allowBlank="1" showInputMessage="1" showErrorMessage="1" errorTitle="Ugyldigt beløb" error="Der kan ikke indtastes negative beløb." sqref="B12 B30:B31 B113 B70 B48:B50 B58:B65 B45 B98">
      <formula1>0</formula1>
    </dataValidation>
    <dataValidation type="list" showInputMessage="1" showErrorMessage="1" errorTitle="Ugyldig indtastning" error="Der skal vælges en valgmulighed fra rullemenuen." sqref="B14">
      <formula1>ÅbningsforbudSidsteDag</formula1>
    </dataValidation>
    <dataValidation type="list" showInputMessage="1" showErrorMessage="1" errorTitle="Ugyldig indtastning" error="Der skal vælges en valgmulighed fra rullemenuen." sqref="B89:B91 B86">
      <formula1>FastholdeUdbetaling</formula1>
    </dataValidation>
    <dataValidation type="list" showInputMessage="1" showErrorMessage="1" errorTitle="Ugyldig indtastning" error="Der skal vælges en valgmulighed fra rullemenuen." sqref="B21">
      <formula1>ReferenceperiodeRealiseretOmsætning</formula1>
    </dataValidation>
    <dataValidation type="list" showInputMessage="1" showErrorMessage="1" errorTitle="Ugyldig indtastning" error="Der skal vælges en valgmulighed fra rullemenuen." sqref="B25:B26">
      <formula1>INDIRECT(B23)</formula1>
    </dataValidation>
    <dataValidation type="list" showInputMessage="1" showErrorMessage="1" errorTitle="Ugyldig indtastning" error="Der skal vælges en valgmulighed fra rullemenuen." sqref="B36">
      <formula1>Refperiode_Fasteomkostninger</formula1>
    </dataValidation>
    <dataValidation type="list" showInputMessage="1" showErrorMessage="1" errorTitle="Ugyldig indtastning" error="Der skal vælges en valgmulighed fra rullemenuen." sqref="B40">
      <formula1>INDIRECT($B$38)</formula1>
    </dataValidation>
    <dataValidation type="list" showInputMessage="1" showErrorMessage="1" errorTitle="Ugyldig indtastning" error="Der skal vælges en valgmulighed fra rullemenuen." sqref="B41">
      <formula1>INDIRECT($B$39)</formula1>
    </dataValidation>
    <dataValidation type="list" showInputMessage="1" showErrorMessage="1" errorTitle="Ugyldig indtastning" error="Der skal vælges en valgmulighed fra rullemenuen." sqref="B87">
      <formula1>OpgørelseAfSenesteResultat</formula1>
    </dataValidation>
    <dataValidation type="list" showInputMessage="1" showErrorMessage="1" errorTitle="Ugyldig indtastning" error="Der skal vælges en valgmulighed fra rullemenuen." sqref="B15">
      <formula1>JaNej</formula1>
    </dataValidation>
    <dataValidation type="decimal" operator="lessThanOrEqual" allowBlank="1" showInputMessage="1" showErrorMessage="1" errorTitle="Ugyldigt beløb" error="Der kan ikke indtastes positive_x000a_ beløb." sqref="B88">
      <formula1>0</formula1>
    </dataValidation>
    <dataValidation type="decimal" operator="greaterThanOrEqual" allowBlank="1" showInputMessage="1" errorTitle="Ugyldigt beløb" error="Der kan ikke indtastes negative beløb." sqref="A67:B67">
      <formula1>0</formula1>
    </dataValidation>
    <dataValidation type="custom" operator="greaterThanOrEqual" allowBlank="1" showInputMessage="1" showErrorMessage="1" errorTitle="Ugyldigt indtastning" error="Der kan kun indtastes cifre." sqref="B93">
      <formula1>ISNUMBER(B93)</formula1>
    </dataValidation>
    <dataValidation type="list" allowBlank="1" showInputMessage="1" showErrorMessage="1" sqref="B9">
      <formula1>Mulige_komp.perioder</formula1>
    </dataValidation>
    <dataValidation type="textLength" operator="equal" allowBlank="1" showInputMessage="1" showErrorMessage="1" error="CVR-nr kan kun være 8 cifre" sqref="B6">
      <formula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Y924"/>
  <sheetViews>
    <sheetView topLeftCell="M1" zoomScaleNormal="100" workbookViewId="0">
      <selection activeCell="R7" sqref="R7"/>
    </sheetView>
  </sheetViews>
  <sheetFormatPr defaultColWidth="9.140625" defaultRowHeight="15" x14ac:dyDescent="0.25"/>
  <cols>
    <col min="1" max="1" width="26.7109375" style="47" bestFit="1" customWidth="1"/>
    <col min="2" max="2" width="25.140625" style="47" bestFit="1" customWidth="1"/>
    <col min="3" max="3" width="47.140625" style="47" customWidth="1"/>
    <col min="4" max="6" width="33.42578125" style="47" customWidth="1"/>
    <col min="7" max="9" width="26.28515625" style="47" customWidth="1"/>
    <col min="10" max="10" width="20" style="47" customWidth="1"/>
    <col min="11" max="11" width="19.5703125" style="47" customWidth="1"/>
    <col min="12" max="12" width="26.28515625" style="47" customWidth="1"/>
    <col min="13" max="13" width="58.140625" style="47" customWidth="1"/>
    <col min="14" max="14" width="25.42578125" style="47" customWidth="1"/>
    <col min="15" max="15" width="14.85546875" style="47" customWidth="1"/>
    <col min="16" max="16" width="21.42578125" style="47" customWidth="1"/>
    <col min="17" max="17" width="23.140625" style="47" customWidth="1"/>
    <col min="18" max="18" width="12.5703125" style="47" customWidth="1"/>
    <col min="19" max="21" width="10.42578125" style="47" customWidth="1"/>
    <col min="22" max="22" width="10.42578125" style="47" bestFit="1" customWidth="1"/>
    <col min="23" max="23" width="56.140625" style="47" customWidth="1"/>
    <col min="24" max="16384" width="9.140625" style="47"/>
  </cols>
  <sheetData>
    <row r="1" spans="1:25" x14ac:dyDescent="0.25">
      <c r="A1" s="46" t="s">
        <v>26</v>
      </c>
      <c r="B1" s="46" t="s">
        <v>27</v>
      </c>
      <c r="C1" s="46" t="s">
        <v>18</v>
      </c>
      <c r="D1" s="46" t="s">
        <v>44</v>
      </c>
      <c r="E1" s="46" t="s">
        <v>45</v>
      </c>
      <c r="F1" s="46" t="s">
        <v>46</v>
      </c>
      <c r="G1" s="46" t="s">
        <v>47</v>
      </c>
      <c r="H1" s="46" t="s">
        <v>51</v>
      </c>
      <c r="I1" s="46" t="s">
        <v>94</v>
      </c>
      <c r="J1" s="46" t="s">
        <v>138</v>
      </c>
      <c r="K1" s="46" t="s">
        <v>139</v>
      </c>
      <c r="L1" s="46" t="s">
        <v>126</v>
      </c>
      <c r="M1" s="46" t="s">
        <v>19</v>
      </c>
      <c r="N1" s="46" t="s">
        <v>44</v>
      </c>
      <c r="O1" s="46" t="s">
        <v>45</v>
      </c>
      <c r="P1" s="46" t="s">
        <v>52</v>
      </c>
      <c r="Q1" s="46" t="s">
        <v>53</v>
      </c>
      <c r="R1" s="46" t="s">
        <v>56</v>
      </c>
      <c r="S1" s="46" t="s">
        <v>94</v>
      </c>
      <c r="T1" s="46" t="s">
        <v>64</v>
      </c>
      <c r="U1" s="46" t="s">
        <v>110</v>
      </c>
      <c r="V1" s="46" t="s">
        <v>142</v>
      </c>
      <c r="W1" s="46" t="s">
        <v>22</v>
      </c>
    </row>
    <row r="2" spans="1:25" x14ac:dyDescent="0.25">
      <c r="A2" s="48" t="s">
        <v>5</v>
      </c>
      <c r="B2" s="48" t="s">
        <v>5</v>
      </c>
      <c r="C2" s="47" t="s">
        <v>5</v>
      </c>
      <c r="D2" s="47" t="e">
        <f>NA()</f>
        <v>#N/A</v>
      </c>
      <c r="E2" s="47" t="e">
        <f>NA()</f>
        <v>#N/A</v>
      </c>
      <c r="F2" s="47" t="e">
        <f>NA()</f>
        <v>#N/A</v>
      </c>
      <c r="G2" s="47" t="e">
        <f>NA()</f>
        <v>#N/A</v>
      </c>
      <c r="H2" s="47" t="e">
        <f>NA()</f>
        <v>#N/A</v>
      </c>
      <c r="I2" s="47" t="e">
        <f>NA()</f>
        <v>#N/A</v>
      </c>
      <c r="J2" s="48" t="s">
        <v>5</v>
      </c>
      <c r="K2" s="48" t="s">
        <v>5</v>
      </c>
      <c r="L2" s="48" t="s">
        <v>5</v>
      </c>
      <c r="M2" s="47" t="s">
        <v>5</v>
      </c>
      <c r="N2" s="50" t="e">
        <f>NA()</f>
        <v>#N/A</v>
      </c>
      <c r="O2" s="50" t="e">
        <f>NA()</f>
        <v>#N/A</v>
      </c>
      <c r="P2" s="50" t="e">
        <f>NA()</f>
        <v>#N/A</v>
      </c>
      <c r="Q2" s="50" t="e">
        <f>NA()</f>
        <v>#N/A</v>
      </c>
      <c r="R2" s="47" t="e">
        <f>NA()</f>
        <v>#N/A</v>
      </c>
      <c r="S2" s="47" t="e">
        <f>NA()</f>
        <v>#N/A</v>
      </c>
      <c r="T2" s="48" t="s">
        <v>5</v>
      </c>
      <c r="U2" s="48" t="s">
        <v>5</v>
      </c>
      <c r="V2" s="48" t="s">
        <v>5</v>
      </c>
      <c r="W2" s="47" t="s">
        <v>5</v>
      </c>
    </row>
    <row r="3" spans="1:25" x14ac:dyDescent="0.25">
      <c r="A3" s="49" t="s">
        <v>28</v>
      </c>
      <c r="B3" s="50">
        <v>44531</v>
      </c>
      <c r="C3" s="47" t="str">
        <f>IF(ISNUMBER(F3),CONCATENATE("a) Standardperiode ",TEXT(F3,"dd-mm-åååå")," til ",TEXT(G3,"dd-mm-åååå")),"[Vælg først kompensationsperiode]")</f>
        <v>[Vælg først kompensationsperiode]</v>
      </c>
      <c r="D3" s="47" t="e">
        <f>NA()</f>
        <v>#N/A</v>
      </c>
      <c r="E3" s="47" t="e">
        <f>NA()</f>
        <v>#N/A</v>
      </c>
      <c r="F3" s="50" t="str">
        <f>IFERROR(VLOOKUP(Afrapportering!B9,matrix_komp.perioder,4,FALSE),"")</f>
        <v/>
      </c>
      <c r="G3" s="50" t="str">
        <f>IFERROR(VLOOKUP(Afrapportering!B9,matrix_komp.perioder,5,FALSE),"")</f>
        <v/>
      </c>
      <c r="H3" s="51" t="e">
        <f>YEARFRAC(F3,G3,0)</f>
        <v>#VALUE!</v>
      </c>
      <c r="I3" s="47" t="e">
        <f>NA()</f>
        <v>#N/A</v>
      </c>
      <c r="J3" s="50">
        <v>43525</v>
      </c>
      <c r="K3" s="50">
        <v>43616</v>
      </c>
      <c r="L3" s="50">
        <v>44447</v>
      </c>
      <c r="M3" s="47" t="s">
        <v>61</v>
      </c>
      <c r="N3" s="50" t="e">
        <f>NA()</f>
        <v>#N/A</v>
      </c>
      <c r="O3" s="50" t="e">
        <f>NA()</f>
        <v>#N/A</v>
      </c>
      <c r="P3" s="50">
        <v>43770</v>
      </c>
      <c r="Q3" s="50">
        <v>43890</v>
      </c>
      <c r="R3" s="51">
        <f>YEARFRAC(P3,Q3,4)</f>
        <v>0.32777777777777778</v>
      </c>
      <c r="S3" s="47" t="e">
        <f>NA()</f>
        <v>#N/A</v>
      </c>
      <c r="T3" s="79">
        <v>43801</v>
      </c>
      <c r="U3" s="79">
        <v>43801</v>
      </c>
      <c r="V3" s="50">
        <v>44532</v>
      </c>
      <c r="W3" s="47" t="s">
        <v>23</v>
      </c>
    </row>
    <row r="4" spans="1:25" x14ac:dyDescent="0.25">
      <c r="A4" s="50">
        <v>44531</v>
      </c>
      <c r="B4" s="50">
        <v>44532</v>
      </c>
      <c r="C4" s="47" t="s">
        <v>140</v>
      </c>
      <c r="D4" s="47" t="e">
        <f>NA()</f>
        <v>#N/A</v>
      </c>
      <c r="E4" s="47" t="e">
        <f>NA()</f>
        <v>#N/A</v>
      </c>
      <c r="F4" s="50">
        <v>44440</v>
      </c>
      <c r="G4" s="50">
        <v>44530</v>
      </c>
      <c r="H4" s="51">
        <f t="shared" ref="H4" si="0">YEARFRAC(F4,G4,0)</f>
        <v>0.24722222222222223</v>
      </c>
      <c r="I4" s="51" t="str">
        <f>IF(ISNUMBER(F3),CONCATENATE("Denne referenceperiode gælder kun for institioner, der ikke har haft omsætning i hele perioden ",TEXT(F3,"dd-mm-åååå")," til ",TEXT(G3,"dd-mm-åååå")),"[Vælg først kompensationsperiode]")</f>
        <v>[Vælg først kompensationsperiode]</v>
      </c>
      <c r="J4" s="50">
        <v>43526</v>
      </c>
      <c r="K4" s="50">
        <v>43617</v>
      </c>
      <c r="L4" s="50">
        <v>44448</v>
      </c>
      <c r="M4" s="47" t="s">
        <v>141</v>
      </c>
      <c r="N4" s="50" t="s">
        <v>64</v>
      </c>
      <c r="O4" s="50" t="e">
        <f>NA()</f>
        <v>#N/A</v>
      </c>
      <c r="P4" s="50" t="e">
        <f>NA()</f>
        <v>#N/A</v>
      </c>
      <c r="Q4" s="50">
        <v>43899</v>
      </c>
      <c r="R4" s="47">
        <f>YEARFRAC(DATE(2020,2,10),DATE(2020,3,9),4)</f>
        <v>8.0555555555555561E-2</v>
      </c>
      <c r="S4" s="50" t="s">
        <v>125</v>
      </c>
      <c r="T4" s="79">
        <v>43802</v>
      </c>
      <c r="U4" s="79">
        <v>43802</v>
      </c>
      <c r="V4" s="50">
        <v>44533</v>
      </c>
      <c r="W4" s="47" t="s">
        <v>24</v>
      </c>
    </row>
    <row r="5" spans="1:25" x14ac:dyDescent="0.25">
      <c r="A5" s="50">
        <v>44532</v>
      </c>
      <c r="B5" s="50">
        <v>44533</v>
      </c>
      <c r="C5" s="47" t="s">
        <v>137</v>
      </c>
      <c r="D5" s="47" t="s">
        <v>138</v>
      </c>
      <c r="E5" s="47" t="s">
        <v>139</v>
      </c>
      <c r="F5" s="50" t="e">
        <f>NA()</f>
        <v>#N/A</v>
      </c>
      <c r="G5" s="50" t="e">
        <f>NA()</f>
        <v>#N/A</v>
      </c>
      <c r="H5" s="51">
        <f>YEARFRAC(DATE(2020,9,1),DATE(2020,11,30)+1,0)</f>
        <v>0.25</v>
      </c>
      <c r="I5" s="51" t="str">
        <f>IF(ISNUMBER(F3),CONCATENATE("Ansøger skal vedlægge ansøgning et bilag, der begrunder, at perioderne ",TEXT(F3,"dd-mm-åååå")," til ",TEXT(G3,"dd-mm-åååå")," og ",TEXT(F4,"dd-mm-åååå")," til ",TEXT(G4,"dd-mm-åååå")," ikke er retvisende"),"[Vælg først kompensationsperiode]")</f>
        <v>[Vælg først kompensationsperiode]</v>
      </c>
      <c r="J5" s="50">
        <v>43527</v>
      </c>
      <c r="K5" s="50">
        <v>43618</v>
      </c>
      <c r="L5" s="50">
        <v>44449</v>
      </c>
      <c r="M5" s="47" t="str">
        <f>IF(ISNUMBER(P5),CONCATENATE("c) ",TEXT(P5,"dd-mm-åååå")," til ",TEXT(Q5,"dd-mm-åååå")),"[Vælg først kompensationsperiode]")</f>
        <v>[Vælg først kompensationsperiode]</v>
      </c>
      <c r="N5" s="50" t="e">
        <f>NA()</f>
        <v>#N/A</v>
      </c>
      <c r="O5" s="50" t="e">
        <f>NA()</f>
        <v>#N/A</v>
      </c>
      <c r="P5" s="50" t="str">
        <f>IFERROR(VLOOKUP(Afrapportering!B9,matrix_indirekte_faste_ref,2,FALSE),"")</f>
        <v/>
      </c>
      <c r="Q5" s="50" t="str">
        <f>IFERROR(VLOOKUP(Afrapportering!B9,matrix_indirekte_faste_ref,3,FALSE),"")</f>
        <v/>
      </c>
      <c r="R5" s="51" t="e">
        <f>YEARFRAC(P5,Q5,0)</f>
        <v>#VALUE!</v>
      </c>
      <c r="S5" s="51" t="s">
        <v>143</v>
      </c>
      <c r="T5" s="79">
        <v>43803</v>
      </c>
      <c r="U5" s="79">
        <v>43803</v>
      </c>
      <c r="V5" s="50">
        <v>44534</v>
      </c>
    </row>
    <row r="6" spans="1:25" x14ac:dyDescent="0.25">
      <c r="A6" s="50">
        <v>44533</v>
      </c>
      <c r="B6" s="50">
        <v>44534</v>
      </c>
      <c r="C6" s="47" t="str">
        <f>IF(ISNUMBER(#REF!),CONCATENATE("d) Fra stiftelsesdato til ",TEXT(#REF!,"dd-mm-åååå")),"[Vælg først kompensationsperiode]")</f>
        <v>[Vælg først kompensationsperiode]</v>
      </c>
      <c r="D6" s="47" t="s">
        <v>126</v>
      </c>
      <c r="E6" s="50" t="e">
        <f>NA()</f>
        <v>#N/A</v>
      </c>
      <c r="F6" s="50" t="e">
        <f>NA()</f>
        <v>#N/A</v>
      </c>
      <c r="G6" s="49" t="str">
        <f>IFERROR(VLOOKUP(Afrapportering!B9,matrix_komp.perioder,2,FALSE)-1,"")</f>
        <v/>
      </c>
      <c r="H6" s="51">
        <f>YEARFRAC(DATE(2020,11,1),DATE(2020,11,30),0)</f>
        <v>8.0555555555555561E-2</v>
      </c>
      <c r="I6" s="51" t="str">
        <f>IF(ISNUMBER(F3),CONCATENATE("Denne referenceperiode gælder kun for institioner, der ikke har haft omsætning i hele perioden ",TEXT(F3,"dd-mm-åååå")," til ","07-12-2021"),"[Vælg først kompensationsperiode]")</f>
        <v>[Vælg først kompensationsperiode]</v>
      </c>
      <c r="J6" s="50">
        <v>43528</v>
      </c>
      <c r="K6" s="50">
        <v>43619</v>
      </c>
      <c r="L6" s="50">
        <v>44450</v>
      </c>
      <c r="M6" s="47" t="str">
        <f>IF(ISNUMBER(W3),CONCATENATE("d) Fra stiftelsesdato"," til ",TEXT(W3,"dd-mm-åååå")),"[Vælg først kompensationsperiode]")</f>
        <v>[Vælg først kompensationsperiode]</v>
      </c>
      <c r="N6" s="50" t="s">
        <v>110</v>
      </c>
      <c r="O6" s="50" t="e">
        <f>NA()</f>
        <v>#N/A</v>
      </c>
      <c r="P6" s="50" t="e">
        <f>NA()</f>
        <v>#N/A</v>
      </c>
      <c r="Q6" s="50" t="str">
        <f>IFERROR(VLOOKUP(Afrapportering!B9,matrix_indirekte_faste_ref,3,FALSE),"")</f>
        <v/>
      </c>
      <c r="R6" s="51">
        <f>YEARFRAC(DATE(2020,10,2),DATE(2020,10,31),0)</f>
        <v>8.0555555555555561E-2</v>
      </c>
      <c r="S6" s="51" t="s">
        <v>143</v>
      </c>
      <c r="T6" s="79">
        <v>43804</v>
      </c>
      <c r="U6" s="79">
        <v>43804</v>
      </c>
      <c r="V6" s="50">
        <v>44535</v>
      </c>
      <c r="W6" s="46" t="s">
        <v>25</v>
      </c>
      <c r="X6" s="46" t="s">
        <v>109</v>
      </c>
      <c r="Y6" s="46"/>
    </row>
    <row r="7" spans="1:25" x14ac:dyDescent="0.25">
      <c r="A7" s="50">
        <v>44534</v>
      </c>
      <c r="B7" s="50">
        <v>44535</v>
      </c>
      <c r="F7" s="50"/>
      <c r="G7" s="50"/>
      <c r="H7" s="51"/>
      <c r="I7" s="51"/>
      <c r="J7" s="50">
        <v>43529</v>
      </c>
      <c r="K7" s="50">
        <v>43620</v>
      </c>
      <c r="L7" s="50">
        <v>44451</v>
      </c>
      <c r="M7" s="47" t="str">
        <f>IF(ISNUMBER(Q7),CONCATENATE("e) Fra stiftelsesdato til ",TEXT(Q7,"dd-mm-åååå")),"[Ikke tilgængelig ved valgte kompensationsperiode]")</f>
        <v>[Ikke tilgængelig ved valgte kompensationsperiode]</v>
      </c>
      <c r="N7" s="50" t="s">
        <v>142</v>
      </c>
      <c r="O7" s="50" t="e">
        <f>NA()</f>
        <v>#N/A</v>
      </c>
      <c r="P7" s="50" t="e">
        <f>NA()</f>
        <v>#N/A</v>
      </c>
      <c r="Q7" s="50" t="e">
        <f>IF(VLOOKUP(Afrapportering!B9,matrix_komp.perioder,2,FALSE)&gt;DATE(2021,12,1),VLOOKUP(Afrapportering!B9,matrix_komp.perioder,2,FALSE),NA())</f>
        <v>#N/A</v>
      </c>
      <c r="R7" s="47">
        <v>0</v>
      </c>
      <c r="S7" s="51" t="s">
        <v>144</v>
      </c>
      <c r="T7" s="79">
        <v>43805</v>
      </c>
      <c r="U7" s="79">
        <v>43805</v>
      </c>
      <c r="V7" s="50">
        <v>44536</v>
      </c>
      <c r="W7" s="47" t="s">
        <v>5</v>
      </c>
      <c r="X7" s="47" t="e">
        <f>NA()</f>
        <v>#N/A</v>
      </c>
    </row>
    <row r="8" spans="1:25" x14ac:dyDescent="0.25">
      <c r="A8" s="50">
        <v>44535</v>
      </c>
      <c r="B8" s="50">
        <v>44536</v>
      </c>
      <c r="C8" s="48" t="s">
        <v>5</v>
      </c>
      <c r="F8" s="50"/>
      <c r="G8" s="50"/>
      <c r="H8" s="51"/>
      <c r="I8" s="51"/>
      <c r="J8" s="50">
        <v>43530</v>
      </c>
      <c r="K8" s="50">
        <v>43621</v>
      </c>
      <c r="L8" s="50">
        <v>44452</v>
      </c>
      <c r="M8" s="46"/>
      <c r="N8" s="46"/>
      <c r="O8" s="46"/>
      <c r="P8" s="46"/>
      <c r="T8" s="79">
        <v>43806</v>
      </c>
      <c r="U8" s="79">
        <v>43806</v>
      </c>
      <c r="V8" s="50">
        <v>44537</v>
      </c>
      <c r="W8" s="47" t="s">
        <v>65</v>
      </c>
      <c r="X8" s="47">
        <v>1</v>
      </c>
    </row>
    <row r="9" spans="1:25" x14ac:dyDescent="0.25">
      <c r="A9" s="50">
        <v>44536</v>
      </c>
      <c r="B9" s="50">
        <v>44537</v>
      </c>
      <c r="C9" s="48" t="s">
        <v>23</v>
      </c>
      <c r="D9" s="48"/>
      <c r="E9" s="48"/>
      <c r="F9" s="48"/>
      <c r="G9" s="48"/>
      <c r="H9" s="48"/>
      <c r="I9" s="48"/>
      <c r="J9" s="50">
        <v>43531</v>
      </c>
      <c r="K9" s="50">
        <v>43622</v>
      </c>
      <c r="L9" s="50">
        <v>44453</v>
      </c>
      <c r="M9" s="46" t="s">
        <v>127</v>
      </c>
      <c r="N9" s="46" t="s">
        <v>62</v>
      </c>
      <c r="O9" s="46" t="s">
        <v>63</v>
      </c>
      <c r="T9" s="79">
        <v>43807</v>
      </c>
      <c r="U9" s="79">
        <v>43807</v>
      </c>
      <c r="W9" s="47" t="s">
        <v>66</v>
      </c>
      <c r="X9" s="47">
        <v>2</v>
      </c>
    </row>
    <row r="10" spans="1:25" x14ac:dyDescent="0.25">
      <c r="A10" s="50">
        <v>44537</v>
      </c>
      <c r="B10" s="50">
        <v>44538</v>
      </c>
      <c r="C10" s="48" t="s">
        <v>24</v>
      </c>
      <c r="D10" s="48"/>
      <c r="E10" s="48"/>
      <c r="F10" s="48"/>
      <c r="G10" s="48"/>
      <c r="H10" s="48"/>
      <c r="I10" s="48"/>
      <c r="J10" s="50">
        <v>43532</v>
      </c>
      <c r="K10" s="50">
        <v>43623</v>
      </c>
      <c r="L10" s="50">
        <v>44454</v>
      </c>
      <c r="M10" s="48" t="s">
        <v>5</v>
      </c>
      <c r="N10" s="48" t="e">
        <f>NA()</f>
        <v>#N/A</v>
      </c>
      <c r="O10" s="48" t="e">
        <f>NA()</f>
        <v>#N/A</v>
      </c>
      <c r="T10" s="79">
        <v>43808</v>
      </c>
      <c r="U10" s="79">
        <v>43808</v>
      </c>
      <c r="W10" s="47" t="s">
        <v>67</v>
      </c>
      <c r="X10" s="47">
        <v>4</v>
      </c>
    </row>
    <row r="11" spans="1:25" x14ac:dyDescent="0.25">
      <c r="A11" s="50">
        <v>44538</v>
      </c>
      <c r="B11" s="50">
        <v>44539</v>
      </c>
      <c r="J11" s="50">
        <v>43533</v>
      </c>
      <c r="K11" s="50">
        <v>43624</v>
      </c>
      <c r="L11" s="50">
        <v>44455</v>
      </c>
      <c r="M11" s="48" t="s">
        <v>129</v>
      </c>
      <c r="N11" s="50">
        <v>44440</v>
      </c>
      <c r="O11" s="50">
        <v>44530</v>
      </c>
      <c r="T11" s="79">
        <v>43809</v>
      </c>
      <c r="U11" s="79">
        <v>43809</v>
      </c>
      <c r="W11" s="47" t="s">
        <v>68</v>
      </c>
      <c r="X11" s="47">
        <v>1</v>
      </c>
    </row>
    <row r="12" spans="1:25" x14ac:dyDescent="0.25">
      <c r="A12" s="50">
        <v>44539</v>
      </c>
      <c r="B12" s="50">
        <v>44540</v>
      </c>
      <c r="C12" s="54" t="s">
        <v>40</v>
      </c>
      <c r="D12" s="46" t="s">
        <v>3</v>
      </c>
      <c r="E12" s="46" t="s">
        <v>4</v>
      </c>
      <c r="F12" s="46" t="s">
        <v>42</v>
      </c>
      <c r="G12" s="46" t="s">
        <v>43</v>
      </c>
      <c r="H12" s="46" t="s">
        <v>81</v>
      </c>
      <c r="I12" s="46"/>
      <c r="J12" s="50">
        <v>43534</v>
      </c>
      <c r="K12" s="50">
        <v>43625</v>
      </c>
      <c r="L12" s="50">
        <v>44456</v>
      </c>
      <c r="M12" s="48" t="s">
        <v>130</v>
      </c>
      <c r="N12" s="50">
        <v>44440</v>
      </c>
      <c r="O12" s="50">
        <v>44530</v>
      </c>
      <c r="T12" s="79">
        <v>43810</v>
      </c>
      <c r="U12" s="79">
        <v>43810</v>
      </c>
    </row>
    <row r="13" spans="1:25" x14ac:dyDescent="0.25">
      <c r="A13" s="50">
        <v>44540</v>
      </c>
      <c r="B13" s="50">
        <v>44541</v>
      </c>
      <c r="C13" s="48" t="s">
        <v>5</v>
      </c>
      <c r="D13" s="48" t="e">
        <f>NA()</f>
        <v>#N/A</v>
      </c>
      <c r="E13" s="48" t="e">
        <f>NA()</f>
        <v>#N/A</v>
      </c>
      <c r="F13" s="48" t="e">
        <f>NA()</f>
        <v>#N/A</v>
      </c>
      <c r="G13" s="48" t="e">
        <f>NA()</f>
        <v>#N/A</v>
      </c>
      <c r="H13" s="48" t="e">
        <f>NA()</f>
        <v>#N/A</v>
      </c>
      <c r="I13" s="48"/>
      <c r="J13" s="50">
        <v>43535</v>
      </c>
      <c r="K13" s="50">
        <v>43626</v>
      </c>
      <c r="L13" s="50">
        <v>44457</v>
      </c>
      <c r="M13" s="48" t="s">
        <v>131</v>
      </c>
      <c r="N13" s="50">
        <v>44440</v>
      </c>
      <c r="O13" s="50">
        <v>44530</v>
      </c>
      <c r="P13" s="46"/>
      <c r="T13" s="79">
        <v>43811</v>
      </c>
      <c r="U13" s="79">
        <v>43811</v>
      </c>
    </row>
    <row r="14" spans="1:25" x14ac:dyDescent="0.25">
      <c r="A14" s="50">
        <v>44541</v>
      </c>
      <c r="B14" s="50">
        <v>44542</v>
      </c>
      <c r="C14" s="48" t="s">
        <v>129</v>
      </c>
      <c r="D14" s="50">
        <v>44531</v>
      </c>
      <c r="E14" s="50">
        <v>44561</v>
      </c>
      <c r="F14" s="50">
        <v>43800</v>
      </c>
      <c r="G14" s="50">
        <v>43830</v>
      </c>
      <c r="H14" s="55">
        <f>_xlfn.DAYS(E14,D14)+1</f>
        <v>31</v>
      </c>
      <c r="I14" s="55"/>
      <c r="J14" s="50">
        <v>43536</v>
      </c>
      <c r="K14" s="50">
        <v>43627</v>
      </c>
      <c r="L14" s="50">
        <v>44458</v>
      </c>
      <c r="M14" s="48" t="s">
        <v>132</v>
      </c>
      <c r="N14" s="50">
        <v>44440</v>
      </c>
      <c r="O14" s="50">
        <v>44530</v>
      </c>
      <c r="P14" s="53"/>
      <c r="T14" s="79">
        <v>43812</v>
      </c>
      <c r="U14" s="79">
        <v>43812</v>
      </c>
    </row>
    <row r="15" spans="1:25" x14ac:dyDescent="0.25">
      <c r="A15" s="50">
        <v>44542</v>
      </c>
      <c r="B15" s="50">
        <v>44543</v>
      </c>
      <c r="C15" s="48" t="s">
        <v>130</v>
      </c>
      <c r="D15" s="50">
        <v>44531</v>
      </c>
      <c r="E15" s="50">
        <v>44592</v>
      </c>
      <c r="F15" s="50">
        <v>43800</v>
      </c>
      <c r="G15" s="50">
        <v>43861</v>
      </c>
      <c r="H15" s="55">
        <f>_xlfn.DAYS(E15,D15)+1</f>
        <v>62</v>
      </c>
      <c r="I15" s="55"/>
      <c r="J15" s="50">
        <v>43537</v>
      </c>
      <c r="K15" s="50">
        <v>43628</v>
      </c>
      <c r="L15" s="50">
        <v>44459</v>
      </c>
      <c r="M15" s="48" t="s">
        <v>133</v>
      </c>
      <c r="N15" s="50">
        <v>44440</v>
      </c>
      <c r="O15" s="50">
        <v>44530</v>
      </c>
      <c r="P15" s="52"/>
      <c r="T15" s="79">
        <v>43813</v>
      </c>
      <c r="U15" s="79">
        <v>43813</v>
      </c>
    </row>
    <row r="16" spans="1:25" x14ac:dyDescent="0.25">
      <c r="A16" s="50">
        <v>44543</v>
      </c>
      <c r="B16" s="50">
        <v>44544</v>
      </c>
      <c r="C16" s="48" t="s">
        <v>131</v>
      </c>
      <c r="D16" s="50">
        <v>44540</v>
      </c>
      <c r="E16" s="50">
        <v>44592</v>
      </c>
      <c r="F16" s="50">
        <v>43800</v>
      </c>
      <c r="G16" s="50">
        <v>43861</v>
      </c>
      <c r="H16" s="55">
        <f>_xlfn.DAYS(E16,D16)+1</f>
        <v>53</v>
      </c>
      <c r="I16" s="55"/>
      <c r="J16" s="50">
        <v>43538</v>
      </c>
      <c r="K16" s="50">
        <v>43629</v>
      </c>
      <c r="L16" s="50">
        <v>44460</v>
      </c>
      <c r="M16" s="48" t="s">
        <v>134</v>
      </c>
      <c r="N16" s="50">
        <v>44440</v>
      </c>
      <c r="O16" s="50">
        <v>44530</v>
      </c>
      <c r="P16" s="52"/>
      <c r="T16" s="79">
        <v>43814</v>
      </c>
      <c r="U16" s="79">
        <v>43814</v>
      </c>
    </row>
    <row r="17" spans="1:21" x14ac:dyDescent="0.25">
      <c r="A17" s="50">
        <v>44544</v>
      </c>
      <c r="B17" s="50">
        <v>44545</v>
      </c>
      <c r="C17" s="48" t="s">
        <v>132</v>
      </c>
      <c r="D17" s="50">
        <v>44549</v>
      </c>
      <c r="E17" s="50">
        <v>44592</v>
      </c>
      <c r="F17" s="50">
        <v>43800</v>
      </c>
      <c r="G17" s="50">
        <v>43861</v>
      </c>
      <c r="H17" s="55">
        <f>_xlfn.DAYS(E17,D17)+1</f>
        <v>44</v>
      </c>
      <c r="I17" s="55"/>
      <c r="J17" s="50">
        <v>43539</v>
      </c>
      <c r="K17" s="50">
        <v>43630</v>
      </c>
      <c r="L17" s="50">
        <v>44461</v>
      </c>
      <c r="M17" s="48" t="s">
        <v>135</v>
      </c>
      <c r="N17" s="50">
        <v>44440</v>
      </c>
      <c r="O17" s="50">
        <v>44530</v>
      </c>
      <c r="P17" s="52"/>
      <c r="T17" s="79">
        <v>43815</v>
      </c>
      <c r="U17" s="79">
        <v>43815</v>
      </c>
    </row>
    <row r="18" spans="1:21" x14ac:dyDescent="0.25">
      <c r="A18" s="50">
        <v>44545</v>
      </c>
      <c r="B18" s="50">
        <v>44546</v>
      </c>
      <c r="C18" s="48" t="s">
        <v>133</v>
      </c>
      <c r="D18" s="50">
        <v>44531</v>
      </c>
      <c r="E18" s="50">
        <v>44620</v>
      </c>
      <c r="F18" s="50">
        <v>43800</v>
      </c>
      <c r="G18" s="50">
        <v>43890</v>
      </c>
      <c r="H18" s="55">
        <f t="shared" ref="H18:H21" si="1">_xlfn.DAYS(E18,D18)+1</f>
        <v>90</v>
      </c>
      <c r="I18" s="56"/>
      <c r="J18" s="50">
        <v>43540</v>
      </c>
      <c r="K18" s="50">
        <v>43631</v>
      </c>
      <c r="L18" s="50">
        <v>44462</v>
      </c>
      <c r="M18" s="48" t="s">
        <v>136</v>
      </c>
      <c r="N18" s="50">
        <v>44470</v>
      </c>
      <c r="O18" s="50">
        <v>44561</v>
      </c>
      <c r="P18" s="52"/>
      <c r="T18" s="79">
        <v>43816</v>
      </c>
      <c r="U18" s="79">
        <v>43816</v>
      </c>
    </row>
    <row r="19" spans="1:21" x14ac:dyDescent="0.25">
      <c r="A19" s="50">
        <v>44546</v>
      </c>
      <c r="B19" s="50">
        <v>44547</v>
      </c>
      <c r="C19" s="48" t="s">
        <v>134</v>
      </c>
      <c r="D19" s="50">
        <v>44540</v>
      </c>
      <c r="E19" s="50">
        <v>44620</v>
      </c>
      <c r="F19" s="50">
        <v>43800</v>
      </c>
      <c r="G19" s="50">
        <v>43890</v>
      </c>
      <c r="H19" s="55">
        <f t="shared" si="1"/>
        <v>81</v>
      </c>
      <c r="J19" s="50">
        <v>43541</v>
      </c>
      <c r="K19" s="50">
        <v>43632</v>
      </c>
      <c r="L19" s="50">
        <v>44463</v>
      </c>
      <c r="M19" s="52"/>
      <c r="N19" s="52"/>
      <c r="O19" s="52"/>
      <c r="T19" s="79">
        <v>43817</v>
      </c>
      <c r="U19" s="79">
        <v>43817</v>
      </c>
    </row>
    <row r="20" spans="1:21" x14ac:dyDescent="0.25">
      <c r="A20" s="50">
        <v>44547</v>
      </c>
      <c r="B20" s="50">
        <v>44548</v>
      </c>
      <c r="C20" s="48" t="s">
        <v>135</v>
      </c>
      <c r="D20" s="50">
        <v>44549</v>
      </c>
      <c r="E20" s="50">
        <v>44620</v>
      </c>
      <c r="F20" s="50">
        <v>43800</v>
      </c>
      <c r="G20" s="50">
        <v>43890</v>
      </c>
      <c r="H20" s="55">
        <f t="shared" si="1"/>
        <v>72</v>
      </c>
      <c r="I20" s="46"/>
      <c r="J20" s="50">
        <v>43542</v>
      </c>
      <c r="K20" s="50">
        <v>43633</v>
      </c>
      <c r="L20" s="50">
        <v>44464</v>
      </c>
      <c r="M20" s="52"/>
      <c r="N20" s="52"/>
      <c r="O20" s="52"/>
      <c r="P20" s="46"/>
      <c r="T20" s="79">
        <v>43818</v>
      </c>
      <c r="U20" s="79">
        <v>43818</v>
      </c>
    </row>
    <row r="21" spans="1:21" x14ac:dyDescent="0.25">
      <c r="A21" s="50">
        <v>44548</v>
      </c>
      <c r="B21" s="50">
        <v>44549</v>
      </c>
      <c r="C21" s="48" t="s">
        <v>136</v>
      </c>
      <c r="D21" s="50">
        <v>44562</v>
      </c>
      <c r="E21" s="50">
        <v>44620</v>
      </c>
      <c r="F21" s="50">
        <v>43831</v>
      </c>
      <c r="G21" s="50">
        <v>43890</v>
      </c>
      <c r="H21" s="55">
        <f t="shared" si="1"/>
        <v>59</v>
      </c>
      <c r="J21" s="50">
        <v>43543</v>
      </c>
      <c r="K21" s="50">
        <v>43634</v>
      </c>
      <c r="L21" s="50">
        <v>44465</v>
      </c>
      <c r="M21" s="52"/>
      <c r="N21" s="52"/>
      <c r="O21" s="52"/>
      <c r="P21" s="48"/>
      <c r="T21" s="79">
        <v>43819</v>
      </c>
      <c r="U21" s="79">
        <v>43819</v>
      </c>
    </row>
    <row r="22" spans="1:21" x14ac:dyDescent="0.25">
      <c r="A22" s="50">
        <v>44549</v>
      </c>
      <c r="B22" s="50">
        <v>44550</v>
      </c>
      <c r="C22" s="48"/>
      <c r="D22" s="48"/>
      <c r="E22" s="48"/>
      <c r="F22" s="48"/>
      <c r="G22" s="49"/>
      <c r="H22" s="49"/>
      <c r="I22" s="49"/>
      <c r="J22" s="50">
        <v>43544</v>
      </c>
      <c r="K22" s="50">
        <v>43635</v>
      </c>
      <c r="L22" s="50">
        <v>44466</v>
      </c>
      <c r="N22" s="50"/>
      <c r="O22" s="50"/>
      <c r="P22" s="50"/>
      <c r="T22" s="79">
        <v>43820</v>
      </c>
      <c r="U22" s="79">
        <v>43820</v>
      </c>
    </row>
    <row r="23" spans="1:21" x14ac:dyDescent="0.25">
      <c r="A23" s="50">
        <v>44550</v>
      </c>
      <c r="B23" s="50">
        <v>44551</v>
      </c>
      <c r="C23" s="48"/>
      <c r="D23" s="48"/>
      <c r="E23" s="48"/>
      <c r="F23" s="48"/>
      <c r="G23" s="49"/>
      <c r="H23" s="49"/>
      <c r="I23" s="49"/>
      <c r="J23" s="50">
        <v>43545</v>
      </c>
      <c r="K23" s="50">
        <v>43636</v>
      </c>
      <c r="L23" s="50">
        <v>44467</v>
      </c>
      <c r="M23" s="50"/>
      <c r="N23" s="50"/>
      <c r="O23" s="50"/>
      <c r="P23" s="50"/>
      <c r="T23" s="79">
        <v>43821</v>
      </c>
      <c r="U23" s="79">
        <v>43821</v>
      </c>
    </row>
    <row r="24" spans="1:21" x14ac:dyDescent="0.25">
      <c r="A24" s="50">
        <v>44551</v>
      </c>
      <c r="B24" s="50">
        <v>44552</v>
      </c>
      <c r="C24" s="48"/>
      <c r="D24" s="48"/>
      <c r="E24" s="48"/>
      <c r="F24" s="48"/>
      <c r="G24" s="49"/>
      <c r="H24" s="49"/>
      <c r="I24" s="49"/>
      <c r="J24" s="50">
        <v>43546</v>
      </c>
      <c r="K24" s="50">
        <v>43637</v>
      </c>
      <c r="L24" s="50">
        <v>44468</v>
      </c>
      <c r="M24" s="50"/>
      <c r="N24" s="50"/>
      <c r="O24" s="50"/>
      <c r="P24" s="50"/>
      <c r="T24" s="79">
        <v>43822</v>
      </c>
      <c r="U24" s="79">
        <v>43822</v>
      </c>
    </row>
    <row r="25" spans="1:21" x14ac:dyDescent="0.25">
      <c r="A25" s="50">
        <v>44552</v>
      </c>
      <c r="B25" s="50">
        <v>44553</v>
      </c>
      <c r="C25" s="48"/>
      <c r="D25" s="48"/>
      <c r="E25" s="48"/>
      <c r="F25" s="48"/>
      <c r="G25" s="49"/>
      <c r="H25" s="49"/>
      <c r="I25" s="49"/>
      <c r="J25" s="50">
        <v>43547</v>
      </c>
      <c r="K25" s="50">
        <v>43638</v>
      </c>
      <c r="L25" s="50">
        <v>44469</v>
      </c>
      <c r="M25" s="50"/>
      <c r="N25" s="50"/>
      <c r="O25" s="50"/>
      <c r="P25" s="50"/>
      <c r="T25" s="79">
        <v>43823</v>
      </c>
      <c r="U25" s="79">
        <v>43823</v>
      </c>
    </row>
    <row r="26" spans="1:21" x14ac:dyDescent="0.25">
      <c r="A26" s="50">
        <v>44553</v>
      </c>
      <c r="B26" s="50">
        <v>44554</v>
      </c>
      <c r="J26" s="50">
        <v>43548</v>
      </c>
      <c r="K26" s="50">
        <v>43639</v>
      </c>
      <c r="L26" s="50">
        <v>44470</v>
      </c>
      <c r="M26" s="50"/>
      <c r="N26" s="50"/>
      <c r="O26" s="50"/>
      <c r="P26" s="50"/>
      <c r="T26" s="79">
        <v>43824</v>
      </c>
      <c r="U26" s="79">
        <v>43824</v>
      </c>
    </row>
    <row r="27" spans="1:21" x14ac:dyDescent="0.25">
      <c r="A27" s="50">
        <v>44554</v>
      </c>
      <c r="B27" s="50">
        <v>44555</v>
      </c>
      <c r="J27" s="50">
        <v>43549</v>
      </c>
      <c r="K27" s="50">
        <v>43640</v>
      </c>
      <c r="L27" s="50">
        <v>44471</v>
      </c>
      <c r="M27" s="50"/>
      <c r="N27" s="50"/>
      <c r="O27" s="50"/>
      <c r="P27" s="50"/>
      <c r="T27" s="79">
        <v>43825</v>
      </c>
      <c r="U27" s="79">
        <v>43825</v>
      </c>
    </row>
    <row r="28" spans="1:21" x14ac:dyDescent="0.25">
      <c r="A28" s="50">
        <v>44555</v>
      </c>
      <c r="B28" s="50">
        <v>44556</v>
      </c>
      <c r="J28" s="50">
        <v>43550</v>
      </c>
      <c r="K28" s="50">
        <v>43641</v>
      </c>
      <c r="L28" s="50">
        <v>44472</v>
      </c>
      <c r="M28" s="50"/>
      <c r="N28" s="50"/>
      <c r="O28" s="50"/>
      <c r="P28" s="50"/>
      <c r="T28" s="79">
        <v>43826</v>
      </c>
      <c r="U28" s="79">
        <v>43826</v>
      </c>
    </row>
    <row r="29" spans="1:21" x14ac:dyDescent="0.25">
      <c r="A29" s="50">
        <v>44556</v>
      </c>
      <c r="B29" s="50">
        <v>44557</v>
      </c>
      <c r="J29" s="50">
        <v>43551</v>
      </c>
      <c r="K29" s="50">
        <v>43642</v>
      </c>
      <c r="L29" s="50">
        <v>44473</v>
      </c>
      <c r="M29" s="50"/>
      <c r="N29" s="50"/>
      <c r="O29" s="50"/>
      <c r="P29" s="50"/>
      <c r="T29" s="79">
        <v>43827</v>
      </c>
      <c r="U29" s="79">
        <v>43827</v>
      </c>
    </row>
    <row r="30" spans="1:21" x14ac:dyDescent="0.25">
      <c r="A30" s="50">
        <v>44557</v>
      </c>
      <c r="B30" s="50">
        <v>44558</v>
      </c>
      <c r="J30" s="50">
        <v>43552</v>
      </c>
      <c r="K30" s="50">
        <v>43643</v>
      </c>
      <c r="L30" s="50">
        <v>44474</v>
      </c>
      <c r="M30" s="50"/>
      <c r="N30" s="50"/>
      <c r="O30" s="50"/>
      <c r="P30" s="50"/>
      <c r="T30" s="79">
        <v>43828</v>
      </c>
      <c r="U30" s="79">
        <v>43828</v>
      </c>
    </row>
    <row r="31" spans="1:21" x14ac:dyDescent="0.25">
      <c r="A31" s="50">
        <v>44558</v>
      </c>
      <c r="B31" s="50">
        <v>44559</v>
      </c>
      <c r="J31" s="50">
        <v>43553</v>
      </c>
      <c r="K31" s="50">
        <v>43644</v>
      </c>
      <c r="L31" s="50">
        <v>44475</v>
      </c>
      <c r="M31" s="50"/>
      <c r="N31" s="50"/>
      <c r="O31" s="50"/>
      <c r="P31" s="50"/>
      <c r="T31" s="79">
        <v>43829</v>
      </c>
      <c r="U31" s="79">
        <v>43829</v>
      </c>
    </row>
    <row r="32" spans="1:21" x14ac:dyDescent="0.25">
      <c r="A32" s="50">
        <v>44559</v>
      </c>
      <c r="B32" s="50">
        <v>44560</v>
      </c>
      <c r="J32" s="50">
        <v>43554</v>
      </c>
      <c r="K32" s="50">
        <v>43645</v>
      </c>
      <c r="L32" s="50">
        <v>44476</v>
      </c>
      <c r="M32" s="50"/>
      <c r="N32" s="50"/>
      <c r="O32" s="50"/>
      <c r="P32" s="50"/>
      <c r="T32" s="79">
        <v>43830</v>
      </c>
      <c r="U32" s="79">
        <v>43830</v>
      </c>
    </row>
    <row r="33" spans="1:21" x14ac:dyDescent="0.25">
      <c r="A33" s="50">
        <v>44560</v>
      </c>
      <c r="B33" s="50">
        <v>44561</v>
      </c>
      <c r="J33" s="50">
        <v>43555</v>
      </c>
      <c r="K33" s="50">
        <v>43646</v>
      </c>
      <c r="L33" s="50">
        <v>44477</v>
      </c>
      <c r="M33" s="50"/>
      <c r="N33" s="50"/>
      <c r="O33" s="50"/>
      <c r="P33" s="50"/>
      <c r="T33" s="79">
        <v>43831</v>
      </c>
      <c r="U33" s="79">
        <v>43831</v>
      </c>
    </row>
    <row r="34" spans="1:21" x14ac:dyDescent="0.25">
      <c r="A34" s="50">
        <v>44561</v>
      </c>
      <c r="B34" s="50">
        <v>44562</v>
      </c>
      <c r="J34" s="50">
        <v>43556</v>
      </c>
      <c r="K34" s="50">
        <v>43647</v>
      </c>
      <c r="L34" s="50">
        <v>44478</v>
      </c>
      <c r="M34" s="50"/>
      <c r="N34" s="50"/>
      <c r="O34" s="50"/>
      <c r="P34" s="50"/>
      <c r="T34" s="79">
        <v>43832</v>
      </c>
      <c r="U34" s="79">
        <v>43832</v>
      </c>
    </row>
    <row r="35" spans="1:21" x14ac:dyDescent="0.25">
      <c r="A35" s="50">
        <v>44562</v>
      </c>
      <c r="B35" s="50">
        <v>44563</v>
      </c>
      <c r="J35" s="50">
        <v>43557</v>
      </c>
      <c r="K35" s="50">
        <v>43648</v>
      </c>
      <c r="L35" s="50">
        <v>44479</v>
      </c>
      <c r="M35" s="50"/>
      <c r="N35" s="50"/>
      <c r="O35" s="50"/>
      <c r="P35" s="50"/>
      <c r="T35" s="79">
        <v>43833</v>
      </c>
      <c r="U35" s="79">
        <v>43833</v>
      </c>
    </row>
    <row r="36" spans="1:21" x14ac:dyDescent="0.25">
      <c r="A36" s="50">
        <v>44563</v>
      </c>
      <c r="B36" s="50">
        <v>44564</v>
      </c>
      <c r="J36" s="50">
        <v>43558</v>
      </c>
      <c r="K36" s="50">
        <v>43649</v>
      </c>
      <c r="L36" s="50">
        <v>44480</v>
      </c>
      <c r="M36" s="50"/>
      <c r="N36" s="50"/>
      <c r="O36" s="50"/>
      <c r="P36" s="50"/>
      <c r="T36" s="79">
        <v>43834</v>
      </c>
      <c r="U36" s="79">
        <v>43834</v>
      </c>
    </row>
    <row r="37" spans="1:21" x14ac:dyDescent="0.25">
      <c r="A37" s="50">
        <v>44564</v>
      </c>
      <c r="B37" s="50">
        <v>44565</v>
      </c>
      <c r="J37" s="50">
        <v>43559</v>
      </c>
      <c r="K37" s="50">
        <v>43650</v>
      </c>
      <c r="L37" s="50">
        <v>44481</v>
      </c>
      <c r="M37" s="50"/>
      <c r="N37" s="50"/>
      <c r="O37" s="50"/>
      <c r="P37" s="50"/>
      <c r="T37" s="79">
        <v>43835</v>
      </c>
      <c r="U37" s="79">
        <v>43835</v>
      </c>
    </row>
    <row r="38" spans="1:21" x14ac:dyDescent="0.25">
      <c r="A38" s="50">
        <v>44565</v>
      </c>
      <c r="B38" s="50">
        <v>44566</v>
      </c>
      <c r="J38" s="50">
        <v>43560</v>
      </c>
      <c r="K38" s="50">
        <v>43651</v>
      </c>
      <c r="L38" s="50">
        <v>44482</v>
      </c>
      <c r="M38" s="50"/>
      <c r="N38" s="50"/>
      <c r="O38" s="50"/>
      <c r="P38" s="50"/>
      <c r="T38" s="79">
        <v>43836</v>
      </c>
      <c r="U38" s="79">
        <v>43836</v>
      </c>
    </row>
    <row r="39" spans="1:21" x14ac:dyDescent="0.25">
      <c r="A39" s="50">
        <v>44566</v>
      </c>
      <c r="B39" s="50">
        <v>44567</v>
      </c>
      <c r="J39" s="50">
        <v>43561</v>
      </c>
      <c r="K39" s="50">
        <v>43652</v>
      </c>
      <c r="L39" s="50">
        <v>44483</v>
      </c>
      <c r="M39" s="50"/>
      <c r="N39" s="50"/>
      <c r="O39" s="50"/>
      <c r="P39" s="50"/>
      <c r="T39" s="79">
        <v>43837</v>
      </c>
      <c r="U39" s="79">
        <v>43837</v>
      </c>
    </row>
    <row r="40" spans="1:21" x14ac:dyDescent="0.25">
      <c r="A40" s="50">
        <v>44567</v>
      </c>
      <c r="B40" s="50">
        <v>44568</v>
      </c>
      <c r="J40" s="50">
        <v>43562</v>
      </c>
      <c r="K40" s="50">
        <v>43653</v>
      </c>
      <c r="L40" s="50">
        <v>44484</v>
      </c>
      <c r="M40" s="50"/>
      <c r="N40" s="50"/>
      <c r="O40" s="50"/>
      <c r="P40" s="50"/>
      <c r="T40" s="79">
        <v>43838</v>
      </c>
      <c r="U40" s="79">
        <v>43838</v>
      </c>
    </row>
    <row r="41" spans="1:21" x14ac:dyDescent="0.25">
      <c r="A41" s="50">
        <v>44568</v>
      </c>
      <c r="B41" s="50">
        <v>44569</v>
      </c>
      <c r="J41" s="50">
        <v>43563</v>
      </c>
      <c r="K41" s="50">
        <v>43654</v>
      </c>
      <c r="L41" s="50">
        <v>44485</v>
      </c>
      <c r="M41" s="50"/>
      <c r="N41" s="50"/>
      <c r="O41" s="50"/>
      <c r="P41" s="50"/>
      <c r="T41" s="79">
        <v>43839</v>
      </c>
      <c r="U41" s="79">
        <v>43839</v>
      </c>
    </row>
    <row r="42" spans="1:21" x14ac:dyDescent="0.25">
      <c r="A42" s="50">
        <v>44569</v>
      </c>
      <c r="B42" s="50">
        <v>44570</v>
      </c>
      <c r="J42" s="50">
        <v>43564</v>
      </c>
      <c r="K42" s="50">
        <v>43655</v>
      </c>
      <c r="L42" s="50">
        <v>44486</v>
      </c>
      <c r="M42" s="50"/>
      <c r="N42" s="50"/>
      <c r="O42" s="50"/>
      <c r="P42" s="50"/>
      <c r="T42" s="79">
        <v>43840</v>
      </c>
      <c r="U42" s="79">
        <v>43840</v>
      </c>
    </row>
    <row r="43" spans="1:21" x14ac:dyDescent="0.25">
      <c r="A43" s="50">
        <v>44570</v>
      </c>
      <c r="B43" s="50">
        <v>44571</v>
      </c>
      <c r="J43" s="50">
        <v>43565</v>
      </c>
      <c r="K43" s="50">
        <v>43656</v>
      </c>
      <c r="L43" s="50">
        <v>44487</v>
      </c>
      <c r="M43" s="50"/>
      <c r="N43" s="50"/>
      <c r="O43" s="50"/>
      <c r="P43" s="50"/>
      <c r="T43" s="79">
        <v>43841</v>
      </c>
      <c r="U43" s="79">
        <v>43841</v>
      </c>
    </row>
    <row r="44" spans="1:21" x14ac:dyDescent="0.25">
      <c r="A44" s="50">
        <v>44571</v>
      </c>
      <c r="B44" s="50">
        <v>44572</v>
      </c>
      <c r="J44" s="50">
        <v>43566</v>
      </c>
      <c r="K44" s="50">
        <v>43657</v>
      </c>
      <c r="L44" s="50">
        <v>44488</v>
      </c>
      <c r="M44" s="50"/>
      <c r="N44" s="50"/>
      <c r="O44" s="50"/>
      <c r="P44" s="50"/>
      <c r="T44" s="79">
        <v>43842</v>
      </c>
      <c r="U44" s="79">
        <v>43842</v>
      </c>
    </row>
    <row r="45" spans="1:21" x14ac:dyDescent="0.25">
      <c r="A45" s="50">
        <v>44572</v>
      </c>
      <c r="B45" s="50">
        <v>44573</v>
      </c>
      <c r="J45" s="50">
        <v>43567</v>
      </c>
      <c r="K45" s="50">
        <v>43658</v>
      </c>
      <c r="L45" s="50">
        <v>44489</v>
      </c>
      <c r="M45" s="50"/>
      <c r="N45" s="50"/>
      <c r="O45" s="50"/>
      <c r="P45" s="50"/>
      <c r="T45" s="79">
        <v>43843</v>
      </c>
      <c r="U45" s="79">
        <v>43843</v>
      </c>
    </row>
    <row r="46" spans="1:21" x14ac:dyDescent="0.25">
      <c r="A46" s="50">
        <v>44573</v>
      </c>
      <c r="B46" s="50">
        <v>44574</v>
      </c>
      <c r="J46" s="50">
        <v>43568</v>
      </c>
      <c r="K46" s="50">
        <v>43659</v>
      </c>
      <c r="L46" s="50">
        <v>44490</v>
      </c>
      <c r="M46" s="50"/>
      <c r="N46" s="50"/>
      <c r="O46" s="50"/>
      <c r="P46" s="50"/>
      <c r="T46" s="79">
        <v>43844</v>
      </c>
      <c r="U46" s="79">
        <v>43844</v>
      </c>
    </row>
    <row r="47" spans="1:21" x14ac:dyDescent="0.25">
      <c r="A47" s="50">
        <v>44574</v>
      </c>
      <c r="B47" s="50">
        <v>44575</v>
      </c>
      <c r="J47" s="50">
        <v>43569</v>
      </c>
      <c r="K47" s="50">
        <v>43660</v>
      </c>
      <c r="L47" s="50">
        <v>44491</v>
      </c>
      <c r="M47" s="50"/>
      <c r="N47" s="50"/>
      <c r="O47" s="50"/>
      <c r="P47" s="50"/>
      <c r="T47" s="79">
        <v>43845</v>
      </c>
      <c r="U47" s="79">
        <v>43845</v>
      </c>
    </row>
    <row r="48" spans="1:21" x14ac:dyDescent="0.25">
      <c r="A48" s="50">
        <v>44575</v>
      </c>
      <c r="B48" s="50">
        <v>44576</v>
      </c>
      <c r="J48" s="50">
        <v>43570</v>
      </c>
      <c r="K48" s="50">
        <v>43661</v>
      </c>
      <c r="L48" s="50">
        <v>44492</v>
      </c>
      <c r="M48" s="50"/>
      <c r="N48" s="50"/>
      <c r="O48" s="50"/>
      <c r="P48" s="50"/>
      <c r="T48" s="79">
        <v>43846</v>
      </c>
      <c r="U48" s="79">
        <v>43846</v>
      </c>
    </row>
    <row r="49" spans="1:21" x14ac:dyDescent="0.25">
      <c r="A49" s="50">
        <v>44576</v>
      </c>
      <c r="B49" s="50">
        <v>44577</v>
      </c>
      <c r="J49" s="50">
        <v>43571</v>
      </c>
      <c r="K49" s="50">
        <v>43662</v>
      </c>
      <c r="L49" s="50">
        <v>44493</v>
      </c>
      <c r="M49" s="50"/>
      <c r="N49" s="50"/>
      <c r="O49" s="50"/>
      <c r="P49" s="50"/>
      <c r="T49" s="79">
        <v>43847</v>
      </c>
      <c r="U49" s="79">
        <v>43847</v>
      </c>
    </row>
    <row r="50" spans="1:21" x14ac:dyDescent="0.25">
      <c r="A50" s="50">
        <v>44577</v>
      </c>
      <c r="B50" s="50">
        <v>44578</v>
      </c>
      <c r="J50" s="50">
        <v>43572</v>
      </c>
      <c r="K50" s="50">
        <v>43663</v>
      </c>
      <c r="L50" s="50">
        <v>44494</v>
      </c>
      <c r="M50" s="50"/>
      <c r="N50" s="50"/>
      <c r="O50" s="50"/>
      <c r="P50" s="50"/>
      <c r="T50" s="79">
        <v>43848</v>
      </c>
      <c r="U50" s="79">
        <v>43848</v>
      </c>
    </row>
    <row r="51" spans="1:21" x14ac:dyDescent="0.25">
      <c r="A51" s="50">
        <v>44578</v>
      </c>
      <c r="B51" s="50">
        <v>44579</v>
      </c>
      <c r="J51" s="50">
        <v>43573</v>
      </c>
      <c r="K51" s="50">
        <v>43664</v>
      </c>
      <c r="L51" s="50">
        <v>44495</v>
      </c>
      <c r="M51" s="50"/>
      <c r="N51" s="50"/>
      <c r="O51" s="50"/>
      <c r="P51" s="50"/>
      <c r="T51" s="79">
        <v>43849</v>
      </c>
      <c r="U51" s="79">
        <v>43849</v>
      </c>
    </row>
    <row r="52" spans="1:21" x14ac:dyDescent="0.25">
      <c r="A52" s="50">
        <v>44579</v>
      </c>
      <c r="B52" s="50">
        <v>44580</v>
      </c>
      <c r="J52" s="50">
        <v>43574</v>
      </c>
      <c r="K52" s="50">
        <v>43665</v>
      </c>
      <c r="L52" s="50">
        <v>44496</v>
      </c>
      <c r="M52" s="50"/>
      <c r="N52" s="50"/>
      <c r="O52" s="50"/>
      <c r="P52" s="50"/>
      <c r="T52" s="79">
        <v>43850</v>
      </c>
      <c r="U52" s="79">
        <v>43850</v>
      </c>
    </row>
    <row r="53" spans="1:21" x14ac:dyDescent="0.25">
      <c r="A53" s="50">
        <v>44580</v>
      </c>
      <c r="B53" s="50">
        <v>44581</v>
      </c>
      <c r="J53" s="50">
        <v>43575</v>
      </c>
      <c r="K53" s="50">
        <v>43666</v>
      </c>
      <c r="L53" s="50">
        <v>44497</v>
      </c>
      <c r="M53" s="50"/>
      <c r="N53" s="50"/>
      <c r="O53" s="50"/>
      <c r="P53" s="50"/>
      <c r="T53" s="79">
        <v>43851</v>
      </c>
      <c r="U53" s="79">
        <v>43851</v>
      </c>
    </row>
    <row r="54" spans="1:21" x14ac:dyDescent="0.25">
      <c r="A54" s="50">
        <v>44581</v>
      </c>
      <c r="B54" s="50">
        <v>44582</v>
      </c>
      <c r="J54" s="50">
        <v>43576</v>
      </c>
      <c r="K54" s="50">
        <v>43667</v>
      </c>
      <c r="L54" s="50">
        <v>44498</v>
      </c>
      <c r="M54" s="50"/>
      <c r="N54" s="50"/>
      <c r="O54" s="50"/>
      <c r="P54" s="50"/>
      <c r="T54" s="79">
        <v>43852</v>
      </c>
      <c r="U54" s="79">
        <v>43852</v>
      </c>
    </row>
    <row r="55" spans="1:21" x14ac:dyDescent="0.25">
      <c r="A55" s="50">
        <v>44582</v>
      </c>
      <c r="B55" s="50">
        <v>44583</v>
      </c>
      <c r="J55" s="50">
        <v>43577</v>
      </c>
      <c r="K55" s="50">
        <v>43668</v>
      </c>
      <c r="L55" s="50">
        <v>44499</v>
      </c>
      <c r="M55" s="50"/>
      <c r="N55" s="50"/>
      <c r="O55" s="50"/>
      <c r="P55" s="50"/>
      <c r="T55" s="79">
        <v>43853</v>
      </c>
      <c r="U55" s="79">
        <v>43853</v>
      </c>
    </row>
    <row r="56" spans="1:21" x14ac:dyDescent="0.25">
      <c r="A56" s="50">
        <v>44583</v>
      </c>
      <c r="B56" s="50">
        <v>44584</v>
      </c>
      <c r="J56" s="50">
        <v>43578</v>
      </c>
      <c r="K56" s="50">
        <v>43669</v>
      </c>
      <c r="L56" s="50">
        <v>44500</v>
      </c>
      <c r="M56" s="50"/>
      <c r="N56" s="50"/>
      <c r="O56" s="50"/>
      <c r="P56" s="50"/>
      <c r="T56" s="79">
        <v>43854</v>
      </c>
      <c r="U56" s="79">
        <v>43854</v>
      </c>
    </row>
    <row r="57" spans="1:21" x14ac:dyDescent="0.25">
      <c r="A57" s="50">
        <v>44584</v>
      </c>
      <c r="B57" s="50">
        <v>44585</v>
      </c>
      <c r="J57" s="50">
        <v>43579</v>
      </c>
      <c r="K57" s="50">
        <v>43670</v>
      </c>
      <c r="L57" s="50">
        <v>44501</v>
      </c>
      <c r="M57" s="50"/>
      <c r="N57" s="50"/>
      <c r="O57" s="50"/>
      <c r="P57" s="50"/>
      <c r="T57" s="79">
        <v>43855</v>
      </c>
      <c r="U57" s="79">
        <v>43855</v>
      </c>
    </row>
    <row r="58" spans="1:21" x14ac:dyDescent="0.25">
      <c r="A58" s="50">
        <v>44585</v>
      </c>
      <c r="B58" s="50">
        <v>44586</v>
      </c>
      <c r="J58" s="50">
        <v>43580</v>
      </c>
      <c r="K58" s="50">
        <v>43671</v>
      </c>
      <c r="L58" s="50">
        <v>44502</v>
      </c>
      <c r="M58" s="50"/>
      <c r="N58" s="50"/>
      <c r="O58" s="50"/>
      <c r="P58" s="50"/>
      <c r="T58" s="79">
        <v>43856</v>
      </c>
      <c r="U58" s="79">
        <v>43856</v>
      </c>
    </row>
    <row r="59" spans="1:21" x14ac:dyDescent="0.25">
      <c r="A59" s="50">
        <v>44586</v>
      </c>
      <c r="B59" s="50">
        <v>44587</v>
      </c>
      <c r="J59" s="50">
        <v>43581</v>
      </c>
      <c r="K59" s="50">
        <v>43672</v>
      </c>
      <c r="L59" s="50">
        <v>44503</v>
      </c>
      <c r="M59" s="50"/>
      <c r="N59" s="50"/>
      <c r="O59" s="50"/>
      <c r="P59" s="50"/>
      <c r="T59" s="79">
        <v>43857</v>
      </c>
      <c r="U59" s="79">
        <v>43857</v>
      </c>
    </row>
    <row r="60" spans="1:21" x14ac:dyDescent="0.25">
      <c r="A60" s="50">
        <v>44587</v>
      </c>
      <c r="B60" s="50">
        <v>44588</v>
      </c>
      <c r="J60" s="50">
        <v>43582</v>
      </c>
      <c r="K60" s="50">
        <v>43673</v>
      </c>
      <c r="L60" s="50">
        <v>44504</v>
      </c>
      <c r="M60" s="50"/>
      <c r="N60" s="50"/>
      <c r="O60" s="50"/>
      <c r="P60" s="50"/>
      <c r="T60" s="79">
        <v>43858</v>
      </c>
      <c r="U60" s="79">
        <v>43858</v>
      </c>
    </row>
    <row r="61" spans="1:21" x14ac:dyDescent="0.25">
      <c r="A61" s="50">
        <v>44588</v>
      </c>
      <c r="B61" s="50">
        <v>44589</v>
      </c>
      <c r="J61" s="50">
        <v>43583</v>
      </c>
      <c r="K61" s="50">
        <v>43674</v>
      </c>
      <c r="L61" s="50">
        <v>44505</v>
      </c>
      <c r="M61" s="50"/>
      <c r="N61" s="50"/>
      <c r="O61" s="50"/>
      <c r="P61" s="50"/>
      <c r="T61" s="79">
        <v>43859</v>
      </c>
      <c r="U61" s="79">
        <v>43859</v>
      </c>
    </row>
    <row r="62" spans="1:21" x14ac:dyDescent="0.25">
      <c r="A62" s="50">
        <v>44589</v>
      </c>
      <c r="B62" s="50">
        <v>44590</v>
      </c>
      <c r="J62" s="50">
        <v>43584</v>
      </c>
      <c r="K62" s="50">
        <v>43675</v>
      </c>
      <c r="L62" s="50">
        <v>44506</v>
      </c>
      <c r="M62" s="50"/>
      <c r="N62" s="50"/>
      <c r="O62" s="50"/>
      <c r="P62" s="50"/>
      <c r="T62" s="79">
        <v>43860</v>
      </c>
      <c r="U62" s="79">
        <v>43860</v>
      </c>
    </row>
    <row r="63" spans="1:21" x14ac:dyDescent="0.25">
      <c r="A63" s="50">
        <v>44590</v>
      </c>
      <c r="B63" s="50">
        <v>44591</v>
      </c>
      <c r="J63" s="50">
        <v>43585</v>
      </c>
      <c r="K63" s="50">
        <v>43676</v>
      </c>
      <c r="L63" s="50">
        <v>44507</v>
      </c>
      <c r="M63" s="50"/>
      <c r="N63" s="50"/>
      <c r="O63" s="50"/>
      <c r="P63" s="50"/>
      <c r="T63" s="79">
        <v>43861</v>
      </c>
      <c r="U63" s="79">
        <v>43861</v>
      </c>
    </row>
    <row r="64" spans="1:21" x14ac:dyDescent="0.25">
      <c r="A64" s="50">
        <v>44591</v>
      </c>
      <c r="B64" s="50">
        <v>44592</v>
      </c>
      <c r="J64" s="50">
        <v>43586</v>
      </c>
      <c r="K64" s="50">
        <v>43677</v>
      </c>
      <c r="L64" s="50">
        <v>44508</v>
      </c>
      <c r="M64" s="50"/>
      <c r="N64" s="50"/>
      <c r="O64" s="50"/>
      <c r="P64" s="50"/>
      <c r="T64" s="79">
        <v>43862</v>
      </c>
      <c r="U64" s="79">
        <v>43862</v>
      </c>
    </row>
    <row r="65" spans="1:21" x14ac:dyDescent="0.25">
      <c r="A65" s="50">
        <v>44592</v>
      </c>
      <c r="B65" s="50"/>
      <c r="J65" s="50">
        <v>43587</v>
      </c>
      <c r="K65" s="50">
        <v>43678</v>
      </c>
      <c r="L65" s="50">
        <v>44509</v>
      </c>
      <c r="M65" s="50"/>
      <c r="N65" s="50"/>
      <c r="O65" s="50"/>
      <c r="P65" s="50"/>
      <c r="T65" s="79">
        <v>43863</v>
      </c>
      <c r="U65" s="79">
        <v>43863</v>
      </c>
    </row>
    <row r="66" spans="1:21" x14ac:dyDescent="0.25">
      <c r="A66" s="50"/>
      <c r="B66" s="50"/>
      <c r="J66" s="50">
        <v>43588</v>
      </c>
      <c r="K66" s="50">
        <v>43679</v>
      </c>
      <c r="L66" s="50">
        <v>44510</v>
      </c>
      <c r="M66" s="50"/>
      <c r="N66" s="50"/>
      <c r="O66" s="50"/>
      <c r="P66" s="50"/>
      <c r="T66" s="79">
        <v>43864</v>
      </c>
      <c r="U66" s="79">
        <v>43864</v>
      </c>
    </row>
    <row r="67" spans="1:21" x14ac:dyDescent="0.25">
      <c r="A67" s="50"/>
      <c r="B67" s="50"/>
      <c r="J67" s="50">
        <v>43589</v>
      </c>
      <c r="K67" s="50">
        <v>43680</v>
      </c>
      <c r="L67" s="50">
        <v>44511</v>
      </c>
      <c r="M67" s="50"/>
      <c r="N67" s="50"/>
      <c r="O67" s="50"/>
      <c r="P67" s="50"/>
      <c r="T67" s="79">
        <v>43865</v>
      </c>
      <c r="U67" s="79">
        <v>43865</v>
      </c>
    </row>
    <row r="68" spans="1:21" x14ac:dyDescent="0.25">
      <c r="A68" s="50"/>
      <c r="B68" s="50"/>
      <c r="J68" s="50">
        <v>43590</v>
      </c>
      <c r="K68" s="50">
        <v>43681</v>
      </c>
      <c r="L68" s="50">
        <v>44512</v>
      </c>
      <c r="M68" s="50"/>
      <c r="N68" s="50"/>
      <c r="O68" s="50"/>
      <c r="P68" s="50"/>
      <c r="T68" s="79">
        <v>43866</v>
      </c>
      <c r="U68" s="79">
        <v>43866</v>
      </c>
    </row>
    <row r="69" spans="1:21" x14ac:dyDescent="0.25">
      <c r="A69" s="50"/>
      <c r="B69" s="50"/>
      <c r="J69" s="50">
        <v>43591</v>
      </c>
      <c r="K69" s="50">
        <v>43682</v>
      </c>
      <c r="L69" s="50">
        <v>44513</v>
      </c>
      <c r="M69" s="50"/>
      <c r="N69" s="50"/>
      <c r="O69" s="50"/>
      <c r="P69" s="50"/>
      <c r="T69" s="79">
        <v>43867</v>
      </c>
      <c r="U69" s="79">
        <v>43867</v>
      </c>
    </row>
    <row r="70" spans="1:21" x14ac:dyDescent="0.25">
      <c r="A70" s="50"/>
      <c r="B70" s="50"/>
      <c r="J70" s="50">
        <v>43592</v>
      </c>
      <c r="K70" s="50">
        <v>43683</v>
      </c>
      <c r="L70" s="50">
        <v>44514</v>
      </c>
      <c r="M70" s="50"/>
      <c r="N70" s="50"/>
      <c r="O70" s="50"/>
      <c r="P70" s="50"/>
      <c r="T70" s="79">
        <v>43868</v>
      </c>
      <c r="U70" s="79">
        <v>43868</v>
      </c>
    </row>
    <row r="71" spans="1:21" x14ac:dyDescent="0.25">
      <c r="A71" s="50"/>
      <c r="B71" s="50"/>
      <c r="J71" s="50">
        <v>43593</v>
      </c>
      <c r="K71" s="50">
        <v>43684</v>
      </c>
      <c r="L71" s="50">
        <v>44515</v>
      </c>
      <c r="M71" s="50"/>
      <c r="N71" s="50"/>
      <c r="O71" s="50"/>
      <c r="P71" s="50"/>
      <c r="T71" s="79">
        <v>43869</v>
      </c>
      <c r="U71" s="79">
        <v>43869</v>
      </c>
    </row>
    <row r="72" spans="1:21" x14ac:dyDescent="0.25">
      <c r="A72" s="50"/>
      <c r="B72" s="50"/>
      <c r="J72" s="50">
        <v>43594</v>
      </c>
      <c r="K72" s="50">
        <v>43685</v>
      </c>
      <c r="L72" s="50">
        <v>44516</v>
      </c>
      <c r="M72" s="50"/>
      <c r="N72" s="50"/>
      <c r="O72" s="50"/>
      <c r="P72" s="50"/>
      <c r="T72" s="79">
        <v>43870</v>
      </c>
      <c r="U72" s="79">
        <v>43870</v>
      </c>
    </row>
    <row r="73" spans="1:21" x14ac:dyDescent="0.25">
      <c r="A73" s="50"/>
      <c r="B73" s="50"/>
      <c r="J73" s="50">
        <v>43595</v>
      </c>
      <c r="K73" s="50">
        <v>43686</v>
      </c>
      <c r="L73" s="50">
        <v>44517</v>
      </c>
      <c r="M73" s="50"/>
      <c r="N73" s="50"/>
      <c r="O73" s="50"/>
      <c r="P73" s="50"/>
      <c r="T73" s="79">
        <v>43871</v>
      </c>
      <c r="U73" s="79">
        <v>43871</v>
      </c>
    </row>
    <row r="74" spans="1:21" x14ac:dyDescent="0.25">
      <c r="A74" s="50"/>
      <c r="B74" s="50"/>
      <c r="J74" s="50">
        <v>43596</v>
      </c>
      <c r="K74" s="50">
        <v>43687</v>
      </c>
      <c r="L74" s="50">
        <v>44518</v>
      </c>
      <c r="M74" s="50"/>
      <c r="N74" s="50"/>
      <c r="O74" s="50"/>
      <c r="P74" s="50"/>
      <c r="T74" s="79">
        <v>43872</v>
      </c>
      <c r="U74" s="79">
        <v>43872</v>
      </c>
    </row>
    <row r="75" spans="1:21" x14ac:dyDescent="0.25">
      <c r="A75" s="50"/>
      <c r="B75" s="50"/>
      <c r="J75" s="50">
        <v>43597</v>
      </c>
      <c r="K75" s="50">
        <v>43688</v>
      </c>
      <c r="L75" s="50">
        <v>44519</v>
      </c>
      <c r="M75" s="50"/>
      <c r="N75" s="50"/>
      <c r="O75" s="50"/>
      <c r="P75" s="50"/>
      <c r="T75" s="79">
        <v>43873</v>
      </c>
      <c r="U75" s="79">
        <v>43873</v>
      </c>
    </row>
    <row r="76" spans="1:21" x14ac:dyDescent="0.25">
      <c r="A76" s="50"/>
      <c r="B76" s="50"/>
      <c r="J76" s="50">
        <v>43598</v>
      </c>
      <c r="K76" s="50">
        <v>43689</v>
      </c>
      <c r="L76" s="50">
        <v>44520</v>
      </c>
      <c r="M76" s="50"/>
      <c r="N76" s="50"/>
      <c r="O76" s="50"/>
      <c r="P76" s="50"/>
      <c r="T76" s="79">
        <v>43874</v>
      </c>
      <c r="U76" s="79">
        <v>43874</v>
      </c>
    </row>
    <row r="77" spans="1:21" x14ac:dyDescent="0.25">
      <c r="A77" s="50"/>
      <c r="B77" s="50"/>
      <c r="J77" s="50">
        <v>43599</v>
      </c>
      <c r="K77" s="50">
        <v>43690</v>
      </c>
      <c r="L77" s="50">
        <v>44521</v>
      </c>
      <c r="M77" s="50"/>
      <c r="N77" s="50"/>
      <c r="O77" s="50"/>
      <c r="P77" s="50"/>
      <c r="T77" s="79">
        <v>43875</v>
      </c>
      <c r="U77" s="79">
        <v>43875</v>
      </c>
    </row>
    <row r="78" spans="1:21" x14ac:dyDescent="0.25">
      <c r="A78" s="50"/>
      <c r="B78" s="50"/>
      <c r="J78" s="50">
        <v>43600</v>
      </c>
      <c r="K78" s="50">
        <v>43691</v>
      </c>
      <c r="L78" s="50">
        <v>44522</v>
      </c>
      <c r="M78" s="50"/>
      <c r="N78" s="50"/>
      <c r="O78" s="50"/>
      <c r="P78" s="50"/>
      <c r="T78" s="79">
        <v>43876</v>
      </c>
      <c r="U78" s="79">
        <v>43876</v>
      </c>
    </row>
    <row r="79" spans="1:21" x14ac:dyDescent="0.25">
      <c r="A79" s="50"/>
      <c r="B79" s="50"/>
      <c r="J79" s="50">
        <v>43601</v>
      </c>
      <c r="K79" s="50">
        <v>43692</v>
      </c>
      <c r="L79" s="50">
        <v>44523</v>
      </c>
      <c r="M79" s="50"/>
      <c r="N79" s="50"/>
      <c r="O79" s="50"/>
      <c r="P79" s="50"/>
      <c r="T79" s="79">
        <v>43877</v>
      </c>
      <c r="U79" s="79">
        <v>43877</v>
      </c>
    </row>
    <row r="80" spans="1:21" x14ac:dyDescent="0.25">
      <c r="A80" s="50"/>
      <c r="B80" s="50"/>
      <c r="J80" s="50">
        <v>43602</v>
      </c>
      <c r="K80" s="50">
        <v>43693</v>
      </c>
      <c r="L80" s="50">
        <v>44524</v>
      </c>
      <c r="M80" s="50"/>
      <c r="N80" s="50"/>
      <c r="O80" s="50"/>
      <c r="P80" s="50"/>
      <c r="T80" s="79">
        <v>43878</v>
      </c>
      <c r="U80" s="79">
        <v>43878</v>
      </c>
    </row>
    <row r="81" spans="1:21" x14ac:dyDescent="0.25">
      <c r="A81" s="50"/>
      <c r="B81" s="50"/>
      <c r="J81" s="50">
        <v>43603</v>
      </c>
      <c r="K81" s="50">
        <v>43694</v>
      </c>
      <c r="L81" s="50">
        <v>44525</v>
      </c>
      <c r="M81" s="50"/>
      <c r="N81" s="50"/>
      <c r="O81" s="50"/>
      <c r="P81" s="50"/>
      <c r="T81" s="79">
        <v>43879</v>
      </c>
      <c r="U81" s="79">
        <v>43879</v>
      </c>
    </row>
    <row r="82" spans="1:21" x14ac:dyDescent="0.25">
      <c r="A82" s="50"/>
      <c r="B82" s="50"/>
      <c r="J82" s="50">
        <v>43604</v>
      </c>
      <c r="K82" s="50">
        <v>43695</v>
      </c>
      <c r="L82" s="50">
        <v>44526</v>
      </c>
      <c r="M82" s="50"/>
      <c r="N82" s="50"/>
      <c r="O82" s="50"/>
      <c r="P82" s="50"/>
      <c r="T82" s="79">
        <v>43880</v>
      </c>
      <c r="U82" s="79">
        <v>43880</v>
      </c>
    </row>
    <row r="83" spans="1:21" x14ac:dyDescent="0.25">
      <c r="A83" s="50"/>
      <c r="B83" s="50"/>
      <c r="J83" s="50">
        <v>43605</v>
      </c>
      <c r="K83" s="50">
        <v>43696</v>
      </c>
      <c r="L83" s="50">
        <v>44527</v>
      </c>
      <c r="M83" s="50"/>
      <c r="N83" s="50"/>
      <c r="O83" s="50"/>
      <c r="P83" s="50"/>
      <c r="T83" s="79">
        <v>43881</v>
      </c>
      <c r="U83" s="79">
        <v>43881</v>
      </c>
    </row>
    <row r="84" spans="1:21" x14ac:dyDescent="0.25">
      <c r="A84" s="50"/>
      <c r="B84" s="50"/>
      <c r="J84" s="50">
        <v>43606</v>
      </c>
      <c r="K84" s="50">
        <v>43697</v>
      </c>
      <c r="L84" s="50">
        <v>44528</v>
      </c>
      <c r="M84" s="50"/>
      <c r="N84" s="50"/>
      <c r="O84" s="50"/>
      <c r="P84" s="50"/>
      <c r="T84" s="79">
        <v>43882</v>
      </c>
      <c r="U84" s="79">
        <v>43882</v>
      </c>
    </row>
    <row r="85" spans="1:21" x14ac:dyDescent="0.25">
      <c r="A85" s="50"/>
      <c r="B85" s="50"/>
      <c r="J85" s="50">
        <v>43607</v>
      </c>
      <c r="K85" s="50">
        <v>43698</v>
      </c>
      <c r="L85" s="50">
        <v>44529</v>
      </c>
      <c r="M85" s="50"/>
      <c r="N85" s="50"/>
      <c r="O85" s="50"/>
      <c r="P85" s="50"/>
      <c r="T85" s="79">
        <v>43883</v>
      </c>
      <c r="U85" s="79">
        <v>43883</v>
      </c>
    </row>
    <row r="86" spans="1:21" x14ac:dyDescent="0.25">
      <c r="A86" s="50"/>
      <c r="B86" s="50"/>
      <c r="J86" s="50">
        <v>43608</v>
      </c>
      <c r="K86" s="50">
        <v>43699</v>
      </c>
      <c r="L86" s="50">
        <v>44530</v>
      </c>
      <c r="M86" s="50"/>
      <c r="N86" s="50"/>
      <c r="O86" s="50"/>
      <c r="P86" s="50"/>
      <c r="T86" s="79">
        <v>43884</v>
      </c>
      <c r="U86" s="79">
        <v>43884</v>
      </c>
    </row>
    <row r="87" spans="1:21" x14ac:dyDescent="0.25">
      <c r="A87" s="50"/>
      <c r="B87" s="50"/>
      <c r="J87" s="50">
        <v>43609</v>
      </c>
      <c r="K87" s="50">
        <v>43700</v>
      </c>
      <c r="L87" s="50">
        <v>44531</v>
      </c>
      <c r="M87" s="50"/>
      <c r="N87" s="50"/>
      <c r="O87" s="50"/>
      <c r="P87" s="50"/>
      <c r="T87" s="79">
        <v>43885</v>
      </c>
      <c r="U87" s="79">
        <v>43885</v>
      </c>
    </row>
    <row r="88" spans="1:21" x14ac:dyDescent="0.25">
      <c r="A88" s="50"/>
      <c r="B88" s="50"/>
      <c r="J88" s="50">
        <v>43610</v>
      </c>
      <c r="K88" s="50">
        <v>43701</v>
      </c>
      <c r="L88" s="50">
        <v>44532</v>
      </c>
      <c r="M88" s="50"/>
      <c r="N88" s="50"/>
      <c r="O88" s="50"/>
      <c r="P88" s="50"/>
      <c r="T88" s="79">
        <v>43886</v>
      </c>
      <c r="U88" s="79">
        <v>43886</v>
      </c>
    </row>
    <row r="89" spans="1:21" x14ac:dyDescent="0.25">
      <c r="A89" s="50"/>
      <c r="B89" s="50"/>
      <c r="J89" s="50">
        <v>43611</v>
      </c>
      <c r="K89" s="50">
        <v>43702</v>
      </c>
      <c r="L89" s="50">
        <v>44533</v>
      </c>
      <c r="M89" s="50"/>
      <c r="N89" s="50"/>
      <c r="O89" s="50"/>
      <c r="P89" s="50"/>
      <c r="T89" s="79">
        <v>43887</v>
      </c>
      <c r="U89" s="79">
        <v>43887</v>
      </c>
    </row>
    <row r="90" spans="1:21" x14ac:dyDescent="0.25">
      <c r="A90" s="50"/>
      <c r="B90" s="50"/>
      <c r="J90" s="50">
        <v>43612</v>
      </c>
      <c r="K90" s="50">
        <v>43703</v>
      </c>
      <c r="L90" s="50">
        <v>44534</v>
      </c>
      <c r="M90" s="50"/>
      <c r="N90" s="50"/>
      <c r="O90" s="50"/>
      <c r="P90" s="50"/>
      <c r="T90" s="79">
        <v>43888</v>
      </c>
      <c r="U90" s="79">
        <v>43888</v>
      </c>
    </row>
    <row r="91" spans="1:21" x14ac:dyDescent="0.25">
      <c r="A91" s="50"/>
      <c r="B91" s="50"/>
      <c r="J91" s="50">
        <v>43613</v>
      </c>
      <c r="K91" s="50">
        <v>43704</v>
      </c>
      <c r="L91" s="50">
        <v>44535</v>
      </c>
      <c r="M91" s="50"/>
      <c r="N91" s="50"/>
      <c r="O91" s="50"/>
      <c r="P91" s="50"/>
      <c r="T91" s="79">
        <v>43889</v>
      </c>
      <c r="U91" s="79">
        <v>43889</v>
      </c>
    </row>
    <row r="92" spans="1:21" x14ac:dyDescent="0.25">
      <c r="A92" s="50"/>
      <c r="B92" s="50"/>
      <c r="J92" s="50">
        <v>43614</v>
      </c>
      <c r="K92" s="50">
        <v>43705</v>
      </c>
      <c r="L92" s="50">
        <v>44536</v>
      </c>
      <c r="M92" s="50"/>
      <c r="N92" s="50"/>
      <c r="O92" s="50"/>
      <c r="P92" s="50"/>
      <c r="T92" s="79">
        <v>43890</v>
      </c>
      <c r="U92" s="79">
        <v>43890</v>
      </c>
    </row>
    <row r="93" spans="1:21" x14ac:dyDescent="0.25">
      <c r="A93" s="50"/>
      <c r="B93" s="50"/>
      <c r="J93" s="50">
        <v>43615</v>
      </c>
      <c r="K93" s="50">
        <v>43706</v>
      </c>
      <c r="L93" s="50">
        <v>44537</v>
      </c>
      <c r="M93" s="50"/>
      <c r="N93" s="50"/>
      <c r="O93" s="50"/>
      <c r="P93" s="50"/>
      <c r="T93" s="79">
        <v>43891</v>
      </c>
      <c r="U93" s="79">
        <v>43891</v>
      </c>
    </row>
    <row r="94" spans="1:21" x14ac:dyDescent="0.25">
      <c r="A94" s="50"/>
      <c r="B94" s="50"/>
      <c r="J94" s="50">
        <v>43616</v>
      </c>
      <c r="K94" s="50">
        <v>43707</v>
      </c>
      <c r="L94" s="50">
        <v>44538</v>
      </c>
      <c r="M94" s="50"/>
      <c r="N94" s="50"/>
      <c r="O94" s="50"/>
      <c r="P94" s="50"/>
      <c r="T94" s="79">
        <v>43892</v>
      </c>
      <c r="U94" s="79">
        <v>43892</v>
      </c>
    </row>
    <row r="95" spans="1:21" x14ac:dyDescent="0.25">
      <c r="A95" s="50"/>
      <c r="B95" s="50"/>
      <c r="J95" s="50">
        <v>43617</v>
      </c>
      <c r="K95" s="50">
        <v>43708</v>
      </c>
      <c r="L95" s="50">
        <v>44539</v>
      </c>
      <c r="M95" s="50"/>
      <c r="N95" s="50"/>
      <c r="O95" s="50"/>
      <c r="P95" s="50"/>
      <c r="T95" s="79">
        <v>43893</v>
      </c>
      <c r="U95" s="79">
        <v>43893</v>
      </c>
    </row>
    <row r="96" spans="1:21" x14ac:dyDescent="0.25">
      <c r="A96" s="50"/>
      <c r="B96" s="50"/>
      <c r="J96" s="50">
        <v>43618</v>
      </c>
      <c r="K96" s="50">
        <v>43709</v>
      </c>
      <c r="L96" s="50">
        <v>44540</v>
      </c>
      <c r="M96" s="50"/>
      <c r="N96" s="50"/>
      <c r="O96" s="50"/>
      <c r="P96" s="50"/>
      <c r="T96" s="79">
        <v>43894</v>
      </c>
      <c r="U96" s="79">
        <v>43894</v>
      </c>
    </row>
    <row r="97" spans="1:21" x14ac:dyDescent="0.25">
      <c r="A97" s="50"/>
      <c r="B97" s="50"/>
      <c r="J97" s="50">
        <v>43619</v>
      </c>
      <c r="K97" s="50">
        <v>43710</v>
      </c>
      <c r="L97" s="50">
        <v>44541</v>
      </c>
      <c r="M97" s="50"/>
      <c r="N97" s="50"/>
      <c r="O97" s="50"/>
      <c r="P97" s="50"/>
      <c r="T97" s="79">
        <v>43895</v>
      </c>
      <c r="U97" s="79">
        <v>43895</v>
      </c>
    </row>
    <row r="98" spans="1:21" x14ac:dyDescent="0.25">
      <c r="A98" s="50"/>
      <c r="B98" s="50"/>
      <c r="J98" s="50">
        <v>43620</v>
      </c>
      <c r="K98" s="50">
        <v>43711</v>
      </c>
      <c r="L98" s="50">
        <v>44542</v>
      </c>
      <c r="M98" s="50"/>
      <c r="N98" s="50"/>
      <c r="O98" s="50"/>
      <c r="P98" s="50"/>
      <c r="T98" s="79">
        <v>43896</v>
      </c>
      <c r="U98" s="79">
        <v>43896</v>
      </c>
    </row>
    <row r="99" spans="1:21" x14ac:dyDescent="0.25">
      <c r="A99" s="50"/>
      <c r="B99" s="50"/>
      <c r="J99" s="50">
        <v>43621</v>
      </c>
      <c r="K99" s="50">
        <v>43712</v>
      </c>
      <c r="L99" s="50">
        <v>44543</v>
      </c>
      <c r="M99" s="50"/>
      <c r="N99" s="50"/>
      <c r="O99" s="50"/>
      <c r="P99" s="50"/>
      <c r="T99" s="79">
        <v>43897</v>
      </c>
      <c r="U99" s="79">
        <v>43897</v>
      </c>
    </row>
    <row r="100" spans="1:21" x14ac:dyDescent="0.25">
      <c r="A100" s="50"/>
      <c r="B100" s="50"/>
      <c r="J100" s="50">
        <v>43622</v>
      </c>
      <c r="K100" s="50">
        <v>43713</v>
      </c>
      <c r="L100" s="50">
        <v>44544</v>
      </c>
      <c r="M100" s="50"/>
      <c r="N100" s="50"/>
      <c r="O100" s="50"/>
      <c r="P100" s="50"/>
      <c r="T100" s="79">
        <v>43898</v>
      </c>
      <c r="U100" s="79">
        <v>43898</v>
      </c>
    </row>
    <row r="101" spans="1:21" x14ac:dyDescent="0.25">
      <c r="A101" s="50"/>
      <c r="B101" s="50"/>
      <c r="J101" s="50">
        <v>43623</v>
      </c>
      <c r="K101" s="50">
        <v>43714</v>
      </c>
      <c r="L101" s="50">
        <v>44545</v>
      </c>
      <c r="M101" s="50"/>
      <c r="N101" s="50"/>
      <c r="O101" s="50"/>
      <c r="P101" s="50"/>
      <c r="U101" s="79">
        <v>43899</v>
      </c>
    </row>
    <row r="102" spans="1:21" x14ac:dyDescent="0.25">
      <c r="A102" s="50"/>
      <c r="B102" s="50"/>
      <c r="J102" s="50">
        <v>43624</v>
      </c>
      <c r="K102" s="50">
        <v>43715</v>
      </c>
      <c r="L102" s="50">
        <v>44546</v>
      </c>
      <c r="M102" s="50"/>
      <c r="N102" s="50"/>
      <c r="O102" s="50"/>
      <c r="P102" s="50"/>
      <c r="U102" s="79">
        <v>43900</v>
      </c>
    </row>
    <row r="103" spans="1:21" x14ac:dyDescent="0.25">
      <c r="A103" s="50"/>
      <c r="B103" s="50"/>
      <c r="J103" s="50">
        <v>43625</v>
      </c>
      <c r="K103" s="50">
        <v>43716</v>
      </c>
      <c r="L103" s="50">
        <v>44547</v>
      </c>
      <c r="M103" s="50"/>
      <c r="N103" s="50"/>
      <c r="O103" s="50"/>
      <c r="P103" s="50"/>
      <c r="U103" s="79">
        <v>43901</v>
      </c>
    </row>
    <row r="104" spans="1:21" x14ac:dyDescent="0.25">
      <c r="A104" s="50"/>
      <c r="B104" s="50"/>
      <c r="J104" s="50">
        <v>43626</v>
      </c>
      <c r="K104" s="50">
        <v>43717</v>
      </c>
      <c r="L104" s="50">
        <v>44548</v>
      </c>
      <c r="M104" s="50"/>
      <c r="N104" s="50"/>
      <c r="O104" s="50"/>
      <c r="P104" s="50"/>
      <c r="U104" s="79">
        <v>43902</v>
      </c>
    </row>
    <row r="105" spans="1:21" x14ac:dyDescent="0.25">
      <c r="A105" s="50"/>
      <c r="B105" s="50"/>
      <c r="J105" s="50">
        <v>43627</v>
      </c>
      <c r="K105" s="50">
        <v>43718</v>
      </c>
      <c r="L105" s="50">
        <v>44549</v>
      </c>
      <c r="M105" s="50"/>
      <c r="N105" s="50"/>
      <c r="O105" s="50"/>
      <c r="P105" s="50"/>
      <c r="U105" s="79">
        <v>43903</v>
      </c>
    </row>
    <row r="106" spans="1:21" x14ac:dyDescent="0.25">
      <c r="A106" s="50"/>
      <c r="B106" s="50"/>
      <c r="J106" s="50">
        <v>43628</v>
      </c>
      <c r="K106" s="50">
        <v>43719</v>
      </c>
      <c r="L106" s="50">
        <v>44550</v>
      </c>
      <c r="M106" s="50"/>
      <c r="N106" s="50"/>
      <c r="O106" s="50"/>
      <c r="P106" s="50"/>
      <c r="U106" s="79">
        <v>43904</v>
      </c>
    </row>
    <row r="107" spans="1:21" x14ac:dyDescent="0.25">
      <c r="A107" s="50"/>
      <c r="B107" s="50"/>
      <c r="J107" s="50">
        <v>43629</v>
      </c>
      <c r="K107" s="50">
        <v>43720</v>
      </c>
      <c r="L107" s="50">
        <v>44551</v>
      </c>
      <c r="M107" s="50"/>
      <c r="N107" s="50"/>
      <c r="O107" s="50"/>
      <c r="P107" s="50"/>
      <c r="U107" s="79">
        <v>43905</v>
      </c>
    </row>
    <row r="108" spans="1:21" x14ac:dyDescent="0.25">
      <c r="A108" s="50"/>
      <c r="B108" s="50"/>
      <c r="J108" s="50">
        <v>43630</v>
      </c>
      <c r="K108" s="50">
        <v>43721</v>
      </c>
      <c r="L108" s="50">
        <v>44552</v>
      </c>
      <c r="M108" s="50"/>
      <c r="N108" s="50"/>
      <c r="O108" s="50"/>
      <c r="P108" s="50"/>
      <c r="U108" s="79">
        <v>43906</v>
      </c>
    </row>
    <row r="109" spans="1:21" x14ac:dyDescent="0.25">
      <c r="A109" s="50"/>
      <c r="B109" s="50"/>
      <c r="J109" s="50">
        <v>43631</v>
      </c>
      <c r="K109" s="50">
        <v>43722</v>
      </c>
      <c r="L109" s="50">
        <v>44553</v>
      </c>
      <c r="M109" s="50"/>
      <c r="N109" s="50"/>
      <c r="O109" s="50"/>
      <c r="P109" s="50"/>
      <c r="U109" s="79">
        <v>43907</v>
      </c>
    </row>
    <row r="110" spans="1:21" x14ac:dyDescent="0.25">
      <c r="A110" s="50"/>
      <c r="B110" s="50"/>
      <c r="J110" s="50">
        <v>43632</v>
      </c>
      <c r="K110" s="50">
        <v>43723</v>
      </c>
      <c r="L110" s="50">
        <v>44554</v>
      </c>
      <c r="M110" s="50"/>
      <c r="N110" s="50"/>
      <c r="O110" s="50"/>
      <c r="P110" s="50"/>
      <c r="U110" s="79">
        <v>43908</v>
      </c>
    </row>
    <row r="111" spans="1:21" x14ac:dyDescent="0.25">
      <c r="A111" s="50"/>
      <c r="B111" s="50"/>
      <c r="J111" s="50">
        <v>43633</v>
      </c>
      <c r="K111" s="50">
        <v>43724</v>
      </c>
      <c r="L111" s="50">
        <v>44555</v>
      </c>
      <c r="M111" s="50"/>
      <c r="N111" s="50"/>
      <c r="O111" s="50"/>
      <c r="P111" s="50"/>
      <c r="U111" s="79">
        <v>43909</v>
      </c>
    </row>
    <row r="112" spans="1:21" x14ac:dyDescent="0.25">
      <c r="A112" s="50"/>
      <c r="B112" s="50"/>
      <c r="J112" s="50">
        <v>43634</v>
      </c>
      <c r="K112" s="50">
        <v>43725</v>
      </c>
      <c r="L112" s="50">
        <v>44556</v>
      </c>
      <c r="M112" s="50"/>
      <c r="N112" s="50"/>
      <c r="O112" s="50"/>
      <c r="P112" s="50"/>
      <c r="U112" s="79">
        <v>43910</v>
      </c>
    </row>
    <row r="113" spans="1:21" x14ac:dyDescent="0.25">
      <c r="A113" s="50"/>
      <c r="B113" s="50"/>
      <c r="J113" s="50">
        <v>43635</v>
      </c>
      <c r="K113" s="50">
        <v>43726</v>
      </c>
      <c r="L113" s="50">
        <v>44557</v>
      </c>
      <c r="M113" s="50"/>
      <c r="N113" s="50"/>
      <c r="O113" s="50"/>
      <c r="P113" s="50"/>
      <c r="U113" s="79">
        <v>43911</v>
      </c>
    </row>
    <row r="114" spans="1:21" x14ac:dyDescent="0.25">
      <c r="A114" s="50"/>
      <c r="B114" s="50"/>
      <c r="J114" s="50">
        <v>43636</v>
      </c>
      <c r="K114" s="50">
        <v>43727</v>
      </c>
      <c r="L114" s="50">
        <v>44558</v>
      </c>
      <c r="M114" s="50"/>
      <c r="N114" s="50"/>
      <c r="O114" s="50"/>
      <c r="P114" s="50"/>
      <c r="U114" s="79">
        <v>43912</v>
      </c>
    </row>
    <row r="115" spans="1:21" x14ac:dyDescent="0.25">
      <c r="A115" s="50"/>
      <c r="B115" s="50"/>
      <c r="J115" s="50">
        <v>43637</v>
      </c>
      <c r="K115" s="50">
        <v>43728</v>
      </c>
      <c r="L115" s="50">
        <v>44559</v>
      </c>
      <c r="M115" s="50"/>
      <c r="N115" s="50"/>
      <c r="O115" s="50"/>
      <c r="P115" s="50"/>
      <c r="U115" s="79">
        <v>43913</v>
      </c>
    </row>
    <row r="116" spans="1:21" x14ac:dyDescent="0.25">
      <c r="A116" s="50"/>
      <c r="B116" s="50"/>
      <c r="J116" s="50">
        <v>43638</v>
      </c>
      <c r="K116" s="50">
        <v>43729</v>
      </c>
      <c r="L116" s="50">
        <v>44560</v>
      </c>
      <c r="M116" s="50"/>
      <c r="N116" s="50"/>
      <c r="O116" s="50"/>
      <c r="P116" s="50"/>
      <c r="U116" s="79">
        <v>43914</v>
      </c>
    </row>
    <row r="117" spans="1:21" x14ac:dyDescent="0.25">
      <c r="A117" s="50"/>
      <c r="B117" s="50"/>
      <c r="J117" s="50">
        <v>43639</v>
      </c>
      <c r="K117" s="50">
        <v>43730</v>
      </c>
      <c r="L117" s="50">
        <v>44561</v>
      </c>
      <c r="M117" s="50"/>
      <c r="N117" s="50"/>
      <c r="O117" s="50"/>
      <c r="P117" s="50"/>
      <c r="U117" s="79">
        <v>43915</v>
      </c>
    </row>
    <row r="118" spans="1:21" x14ac:dyDescent="0.25">
      <c r="A118" s="50"/>
      <c r="B118" s="50"/>
      <c r="J118" s="50">
        <v>43640</v>
      </c>
      <c r="K118" s="50">
        <v>43731</v>
      </c>
      <c r="M118" s="50"/>
      <c r="N118" s="50"/>
      <c r="O118" s="50"/>
      <c r="P118" s="50"/>
      <c r="U118" s="79">
        <v>43916</v>
      </c>
    </row>
    <row r="119" spans="1:21" x14ac:dyDescent="0.25">
      <c r="A119" s="50"/>
      <c r="B119" s="50"/>
      <c r="J119" s="50">
        <v>43641</v>
      </c>
      <c r="K119" s="50">
        <v>43732</v>
      </c>
      <c r="M119" s="50"/>
      <c r="N119" s="50"/>
      <c r="O119" s="50"/>
      <c r="P119" s="50"/>
      <c r="U119" s="79">
        <v>43917</v>
      </c>
    </row>
    <row r="120" spans="1:21" x14ac:dyDescent="0.25">
      <c r="A120" s="50"/>
      <c r="B120" s="50"/>
      <c r="J120" s="50">
        <v>43642</v>
      </c>
      <c r="K120" s="50">
        <v>43733</v>
      </c>
      <c r="M120" s="50"/>
      <c r="N120" s="50"/>
      <c r="O120" s="50"/>
      <c r="P120" s="50"/>
      <c r="U120" s="79">
        <v>43918</v>
      </c>
    </row>
    <row r="121" spans="1:21" x14ac:dyDescent="0.25">
      <c r="A121" s="50"/>
      <c r="B121" s="50"/>
      <c r="J121" s="50">
        <v>43643</v>
      </c>
      <c r="K121" s="50">
        <v>43734</v>
      </c>
      <c r="M121" s="50"/>
      <c r="N121" s="50"/>
      <c r="O121" s="50"/>
      <c r="P121" s="50"/>
      <c r="U121" s="79">
        <v>43919</v>
      </c>
    </row>
    <row r="122" spans="1:21" x14ac:dyDescent="0.25">
      <c r="A122" s="50"/>
      <c r="B122" s="50"/>
      <c r="J122" s="50">
        <v>43644</v>
      </c>
      <c r="K122" s="50">
        <v>43735</v>
      </c>
      <c r="M122" s="50"/>
      <c r="N122" s="50"/>
      <c r="O122" s="50"/>
      <c r="P122" s="50"/>
      <c r="U122" s="79">
        <v>43920</v>
      </c>
    </row>
    <row r="123" spans="1:21" x14ac:dyDescent="0.25">
      <c r="A123" s="50"/>
      <c r="B123" s="50"/>
      <c r="J123" s="50">
        <v>43645</v>
      </c>
      <c r="K123" s="50">
        <v>43736</v>
      </c>
      <c r="M123" s="50"/>
      <c r="N123" s="50"/>
      <c r="O123" s="50"/>
      <c r="P123" s="50"/>
      <c r="U123" s="79">
        <v>43921</v>
      </c>
    </row>
    <row r="124" spans="1:21" x14ac:dyDescent="0.25">
      <c r="A124" s="50"/>
      <c r="B124" s="50"/>
      <c r="J124" s="50">
        <v>43646</v>
      </c>
      <c r="K124" s="50">
        <v>43737</v>
      </c>
      <c r="M124" s="50"/>
      <c r="N124" s="50"/>
      <c r="O124" s="50"/>
      <c r="P124" s="50"/>
      <c r="U124" s="79">
        <v>43922</v>
      </c>
    </row>
    <row r="125" spans="1:21" x14ac:dyDescent="0.25">
      <c r="A125" s="50"/>
      <c r="B125" s="50"/>
      <c r="J125" s="50">
        <v>43647</v>
      </c>
      <c r="K125" s="50">
        <v>43738</v>
      </c>
      <c r="M125" s="50"/>
      <c r="N125" s="50"/>
      <c r="O125" s="50"/>
      <c r="P125" s="50"/>
      <c r="U125" s="79">
        <v>43923</v>
      </c>
    </row>
    <row r="126" spans="1:21" x14ac:dyDescent="0.25">
      <c r="A126" s="50"/>
      <c r="B126" s="50"/>
      <c r="J126" s="50">
        <v>43648</v>
      </c>
      <c r="K126" s="50">
        <v>43739</v>
      </c>
      <c r="M126" s="50"/>
      <c r="N126" s="50"/>
      <c r="O126" s="50"/>
      <c r="P126" s="50"/>
      <c r="U126" s="79">
        <v>43924</v>
      </c>
    </row>
    <row r="127" spans="1:21" x14ac:dyDescent="0.25">
      <c r="A127" s="50"/>
      <c r="B127" s="50"/>
      <c r="J127" s="50">
        <v>43649</v>
      </c>
      <c r="K127" s="50">
        <v>43740</v>
      </c>
      <c r="M127" s="50"/>
      <c r="N127" s="50"/>
      <c r="O127" s="50"/>
      <c r="P127" s="50"/>
      <c r="U127" s="79">
        <v>43925</v>
      </c>
    </row>
    <row r="128" spans="1:21" x14ac:dyDescent="0.25">
      <c r="A128" s="50"/>
      <c r="B128" s="50"/>
      <c r="J128" s="50">
        <v>43650</v>
      </c>
      <c r="K128" s="50">
        <v>43741</v>
      </c>
      <c r="M128" s="50"/>
      <c r="N128" s="50"/>
      <c r="O128" s="50"/>
      <c r="P128" s="50"/>
      <c r="U128" s="79">
        <v>43926</v>
      </c>
    </row>
    <row r="129" spans="1:21" x14ac:dyDescent="0.25">
      <c r="A129" s="50"/>
      <c r="B129" s="50"/>
      <c r="J129" s="50">
        <v>43651</v>
      </c>
      <c r="K129" s="50">
        <v>43742</v>
      </c>
      <c r="M129" s="50"/>
      <c r="N129" s="50"/>
      <c r="O129" s="50"/>
      <c r="P129" s="50"/>
      <c r="U129" s="79">
        <v>43927</v>
      </c>
    </row>
    <row r="130" spans="1:21" x14ac:dyDescent="0.25">
      <c r="A130" s="50"/>
      <c r="B130" s="50"/>
      <c r="J130" s="50">
        <v>43652</v>
      </c>
      <c r="K130" s="50">
        <v>43743</v>
      </c>
      <c r="M130" s="50"/>
      <c r="N130" s="50"/>
      <c r="O130" s="50"/>
      <c r="P130" s="50"/>
      <c r="U130" s="79">
        <v>43928</v>
      </c>
    </row>
    <row r="131" spans="1:21" x14ac:dyDescent="0.25">
      <c r="A131" s="50"/>
      <c r="B131" s="50"/>
      <c r="J131" s="50">
        <v>43653</v>
      </c>
      <c r="K131" s="50">
        <v>43744</v>
      </c>
      <c r="M131" s="50"/>
      <c r="N131" s="50"/>
      <c r="O131" s="50"/>
      <c r="P131" s="50"/>
      <c r="U131" s="79">
        <v>43929</v>
      </c>
    </row>
    <row r="132" spans="1:21" x14ac:dyDescent="0.25">
      <c r="A132" s="50"/>
      <c r="B132" s="50"/>
      <c r="J132" s="50">
        <v>43654</v>
      </c>
      <c r="K132" s="50">
        <v>43745</v>
      </c>
      <c r="M132" s="50"/>
      <c r="N132" s="50"/>
      <c r="O132" s="50"/>
      <c r="P132" s="50"/>
      <c r="U132" s="79">
        <v>43930</v>
      </c>
    </row>
    <row r="133" spans="1:21" x14ac:dyDescent="0.25">
      <c r="A133" s="50"/>
      <c r="B133" s="50"/>
      <c r="J133" s="50">
        <v>43655</v>
      </c>
      <c r="K133" s="50">
        <v>43746</v>
      </c>
      <c r="M133" s="50"/>
      <c r="N133" s="50"/>
      <c r="O133" s="50"/>
      <c r="P133" s="50"/>
      <c r="U133" s="79">
        <v>43931</v>
      </c>
    </row>
    <row r="134" spans="1:21" x14ac:dyDescent="0.25">
      <c r="A134" s="50"/>
      <c r="B134" s="50"/>
      <c r="J134" s="50">
        <v>43656</v>
      </c>
      <c r="K134" s="50">
        <v>43747</v>
      </c>
      <c r="M134" s="50"/>
      <c r="N134" s="50"/>
      <c r="O134" s="50"/>
      <c r="P134" s="50"/>
      <c r="U134" s="79">
        <v>43932</v>
      </c>
    </row>
    <row r="135" spans="1:21" x14ac:dyDescent="0.25">
      <c r="A135" s="50"/>
      <c r="B135" s="50"/>
      <c r="J135" s="50">
        <v>43657</v>
      </c>
      <c r="K135" s="50">
        <v>43748</v>
      </c>
      <c r="M135" s="50"/>
      <c r="N135" s="50"/>
      <c r="O135" s="50"/>
      <c r="P135" s="50"/>
      <c r="U135" s="79">
        <v>43933</v>
      </c>
    </row>
    <row r="136" spans="1:21" x14ac:dyDescent="0.25">
      <c r="A136" s="50"/>
      <c r="B136" s="50"/>
      <c r="J136" s="50">
        <v>43658</v>
      </c>
      <c r="K136" s="50">
        <v>43749</v>
      </c>
      <c r="M136" s="50"/>
      <c r="N136" s="50"/>
      <c r="O136" s="50"/>
      <c r="P136" s="50"/>
      <c r="U136" s="79">
        <v>43934</v>
      </c>
    </row>
    <row r="137" spans="1:21" x14ac:dyDescent="0.25">
      <c r="A137" s="50"/>
      <c r="B137" s="50"/>
      <c r="J137" s="50">
        <v>43659</v>
      </c>
      <c r="K137" s="50">
        <v>43750</v>
      </c>
      <c r="M137" s="50"/>
      <c r="N137" s="50"/>
      <c r="O137" s="50"/>
      <c r="P137" s="50"/>
      <c r="U137" s="79">
        <v>43935</v>
      </c>
    </row>
    <row r="138" spans="1:21" x14ac:dyDescent="0.25">
      <c r="A138" s="50"/>
      <c r="B138" s="50"/>
      <c r="J138" s="50">
        <v>43660</v>
      </c>
      <c r="K138" s="50">
        <v>43751</v>
      </c>
      <c r="M138" s="50"/>
      <c r="N138" s="50"/>
      <c r="O138" s="50"/>
      <c r="P138" s="50"/>
      <c r="U138" s="79">
        <v>43936</v>
      </c>
    </row>
    <row r="139" spans="1:21" x14ac:dyDescent="0.25">
      <c r="A139" s="50"/>
      <c r="B139" s="50"/>
      <c r="J139" s="50">
        <v>43661</v>
      </c>
      <c r="K139" s="50">
        <v>43752</v>
      </c>
      <c r="M139" s="50"/>
      <c r="N139" s="50"/>
      <c r="O139" s="50"/>
      <c r="P139" s="50"/>
      <c r="U139" s="79">
        <v>43937</v>
      </c>
    </row>
    <row r="140" spans="1:21" x14ac:dyDescent="0.25">
      <c r="A140" s="50"/>
      <c r="B140" s="50"/>
      <c r="J140" s="50">
        <v>43662</v>
      </c>
      <c r="K140" s="50">
        <v>43753</v>
      </c>
      <c r="M140" s="50"/>
      <c r="N140" s="50"/>
      <c r="O140" s="50"/>
      <c r="P140" s="50"/>
      <c r="U140" s="79">
        <v>43938</v>
      </c>
    </row>
    <row r="141" spans="1:21" x14ac:dyDescent="0.25">
      <c r="A141" s="50"/>
      <c r="B141" s="50"/>
      <c r="J141" s="50">
        <v>43663</v>
      </c>
      <c r="K141" s="50">
        <v>43754</v>
      </c>
      <c r="M141" s="50"/>
      <c r="N141" s="50"/>
      <c r="O141" s="50"/>
      <c r="P141" s="50"/>
      <c r="U141" s="79">
        <v>43939</v>
      </c>
    </row>
    <row r="142" spans="1:21" x14ac:dyDescent="0.25">
      <c r="A142" s="50"/>
      <c r="B142" s="50"/>
      <c r="J142" s="50">
        <v>43664</v>
      </c>
      <c r="K142" s="50">
        <v>43755</v>
      </c>
      <c r="M142" s="50"/>
      <c r="N142" s="50"/>
      <c r="O142" s="50"/>
      <c r="P142" s="50"/>
      <c r="U142" s="79">
        <v>43940</v>
      </c>
    </row>
    <row r="143" spans="1:21" x14ac:dyDescent="0.25">
      <c r="A143" s="50"/>
      <c r="B143" s="50"/>
      <c r="J143" s="50">
        <v>43665</v>
      </c>
      <c r="K143" s="50">
        <v>43756</v>
      </c>
      <c r="M143" s="50"/>
      <c r="N143" s="50"/>
      <c r="O143" s="50"/>
      <c r="P143" s="50"/>
      <c r="U143" s="79">
        <v>43941</v>
      </c>
    </row>
    <row r="144" spans="1:21" x14ac:dyDescent="0.25">
      <c r="A144" s="50"/>
      <c r="B144" s="50"/>
      <c r="J144" s="50">
        <v>43666</v>
      </c>
      <c r="K144" s="50">
        <v>43757</v>
      </c>
      <c r="M144" s="50"/>
      <c r="N144" s="50"/>
      <c r="O144" s="50"/>
      <c r="P144" s="50"/>
      <c r="U144" s="79">
        <v>43942</v>
      </c>
    </row>
    <row r="145" spans="1:21" x14ac:dyDescent="0.25">
      <c r="A145" s="50"/>
      <c r="B145" s="50"/>
      <c r="J145" s="50">
        <v>43667</v>
      </c>
      <c r="K145" s="50">
        <v>43758</v>
      </c>
      <c r="M145" s="50"/>
      <c r="N145" s="50"/>
      <c r="O145" s="50"/>
      <c r="P145" s="50"/>
      <c r="U145" s="79">
        <v>43943</v>
      </c>
    </row>
    <row r="146" spans="1:21" x14ac:dyDescent="0.25">
      <c r="A146" s="50"/>
      <c r="B146" s="50"/>
      <c r="J146" s="50">
        <v>43668</v>
      </c>
      <c r="K146" s="50">
        <v>43759</v>
      </c>
      <c r="M146" s="50"/>
      <c r="N146" s="50"/>
      <c r="O146" s="50"/>
      <c r="P146" s="50"/>
      <c r="U146" s="79">
        <v>43944</v>
      </c>
    </row>
    <row r="147" spans="1:21" x14ac:dyDescent="0.25">
      <c r="A147" s="50"/>
      <c r="B147" s="50"/>
      <c r="J147" s="50">
        <v>43669</v>
      </c>
      <c r="K147" s="50">
        <v>43760</v>
      </c>
      <c r="M147" s="50"/>
      <c r="N147" s="50"/>
      <c r="O147" s="50"/>
      <c r="P147" s="50"/>
      <c r="U147" s="79">
        <v>43945</v>
      </c>
    </row>
    <row r="148" spans="1:21" x14ac:dyDescent="0.25">
      <c r="A148" s="50"/>
      <c r="B148" s="50"/>
      <c r="J148" s="50">
        <v>43670</v>
      </c>
      <c r="K148" s="50">
        <v>43761</v>
      </c>
      <c r="M148" s="50"/>
      <c r="N148" s="50"/>
      <c r="O148" s="50"/>
      <c r="P148" s="50"/>
      <c r="U148" s="79">
        <v>43946</v>
      </c>
    </row>
    <row r="149" spans="1:21" x14ac:dyDescent="0.25">
      <c r="A149" s="50"/>
      <c r="B149" s="50"/>
      <c r="J149" s="50">
        <v>43671</v>
      </c>
      <c r="K149" s="50">
        <v>43762</v>
      </c>
      <c r="M149" s="50"/>
      <c r="N149" s="50"/>
      <c r="O149" s="50"/>
      <c r="P149" s="50"/>
      <c r="U149" s="79">
        <v>43947</v>
      </c>
    </row>
    <row r="150" spans="1:21" x14ac:dyDescent="0.25">
      <c r="A150" s="50"/>
      <c r="B150" s="50"/>
      <c r="J150" s="50">
        <v>43672</v>
      </c>
      <c r="K150" s="50">
        <v>43763</v>
      </c>
      <c r="M150" s="50"/>
      <c r="N150" s="50"/>
      <c r="O150" s="50"/>
      <c r="P150" s="50"/>
      <c r="U150" s="79">
        <v>43948</v>
      </c>
    </row>
    <row r="151" spans="1:21" x14ac:dyDescent="0.25">
      <c r="A151" s="50"/>
      <c r="B151" s="50"/>
      <c r="J151" s="50">
        <v>43673</v>
      </c>
      <c r="K151" s="50">
        <v>43764</v>
      </c>
      <c r="U151" s="79">
        <v>43949</v>
      </c>
    </row>
    <row r="152" spans="1:21" x14ac:dyDescent="0.25">
      <c r="A152" s="50"/>
      <c r="B152" s="50"/>
      <c r="J152" s="50">
        <v>43674</v>
      </c>
      <c r="K152" s="50">
        <v>43765</v>
      </c>
      <c r="U152" s="79">
        <v>43950</v>
      </c>
    </row>
    <row r="153" spans="1:21" x14ac:dyDescent="0.25">
      <c r="A153" s="50"/>
      <c r="B153" s="50"/>
      <c r="J153" s="50">
        <v>43675</v>
      </c>
      <c r="K153" s="50">
        <v>43766</v>
      </c>
      <c r="U153" s="79">
        <v>43951</v>
      </c>
    </row>
    <row r="154" spans="1:21" x14ac:dyDescent="0.25">
      <c r="A154" s="50"/>
      <c r="B154" s="50"/>
      <c r="J154" s="50">
        <v>43676</v>
      </c>
      <c r="K154" s="50">
        <v>43767</v>
      </c>
      <c r="U154" s="79">
        <v>43952</v>
      </c>
    </row>
    <row r="155" spans="1:21" x14ac:dyDescent="0.25">
      <c r="A155" s="50"/>
      <c r="B155" s="50"/>
      <c r="J155" s="50">
        <v>43677</v>
      </c>
      <c r="K155" s="50">
        <v>43768</v>
      </c>
      <c r="U155" s="79">
        <v>43953</v>
      </c>
    </row>
    <row r="156" spans="1:21" x14ac:dyDescent="0.25">
      <c r="A156" s="50"/>
      <c r="B156" s="50"/>
      <c r="J156" s="50">
        <v>43678</v>
      </c>
      <c r="K156" s="50">
        <v>43769</v>
      </c>
      <c r="U156" s="79">
        <v>43954</v>
      </c>
    </row>
    <row r="157" spans="1:21" x14ac:dyDescent="0.25">
      <c r="A157" s="50"/>
      <c r="B157" s="50"/>
      <c r="J157" s="50">
        <v>43679</v>
      </c>
      <c r="K157" s="50">
        <v>43770</v>
      </c>
      <c r="U157" s="79">
        <v>43955</v>
      </c>
    </row>
    <row r="158" spans="1:21" x14ac:dyDescent="0.25">
      <c r="A158" s="50"/>
      <c r="B158" s="50"/>
      <c r="J158" s="50">
        <v>43680</v>
      </c>
      <c r="K158" s="50">
        <v>43771</v>
      </c>
      <c r="U158" s="79">
        <v>43956</v>
      </c>
    </row>
    <row r="159" spans="1:21" x14ac:dyDescent="0.25">
      <c r="A159" s="50"/>
      <c r="B159" s="50"/>
      <c r="J159" s="50">
        <v>43681</v>
      </c>
      <c r="K159" s="50">
        <v>43772</v>
      </c>
      <c r="U159" s="79">
        <v>43957</v>
      </c>
    </row>
    <row r="160" spans="1:21" x14ac:dyDescent="0.25">
      <c r="A160" s="50"/>
      <c r="B160" s="50"/>
      <c r="J160" s="50">
        <v>43682</v>
      </c>
      <c r="K160" s="50">
        <v>43773</v>
      </c>
      <c r="U160" s="79">
        <v>43958</v>
      </c>
    </row>
    <row r="161" spans="1:21" x14ac:dyDescent="0.25">
      <c r="A161" s="50"/>
      <c r="B161" s="50"/>
      <c r="J161" s="50">
        <v>43683</v>
      </c>
      <c r="K161" s="50">
        <v>43774</v>
      </c>
      <c r="U161" s="79">
        <v>43959</v>
      </c>
    </row>
    <row r="162" spans="1:21" x14ac:dyDescent="0.25">
      <c r="A162" s="50"/>
      <c r="B162" s="50"/>
      <c r="J162" s="50">
        <v>43684</v>
      </c>
      <c r="K162" s="50">
        <v>43775</v>
      </c>
      <c r="U162" s="79">
        <v>43960</v>
      </c>
    </row>
    <row r="163" spans="1:21" x14ac:dyDescent="0.25">
      <c r="A163" s="50"/>
      <c r="B163" s="50"/>
      <c r="J163" s="50">
        <v>43685</v>
      </c>
      <c r="K163" s="50">
        <v>43776</v>
      </c>
      <c r="U163" s="79">
        <v>43961</v>
      </c>
    </row>
    <row r="164" spans="1:21" x14ac:dyDescent="0.25">
      <c r="A164" s="50"/>
      <c r="B164" s="50"/>
      <c r="J164" s="50">
        <v>43686</v>
      </c>
      <c r="K164" s="50">
        <v>43777</v>
      </c>
      <c r="U164" s="79">
        <v>43962</v>
      </c>
    </row>
    <row r="165" spans="1:21" x14ac:dyDescent="0.25">
      <c r="A165" s="50"/>
      <c r="B165" s="50"/>
      <c r="J165" s="50">
        <v>43687</v>
      </c>
      <c r="K165" s="50">
        <v>43778</v>
      </c>
      <c r="U165" s="79">
        <v>43963</v>
      </c>
    </row>
    <row r="166" spans="1:21" x14ac:dyDescent="0.25">
      <c r="A166" s="50"/>
      <c r="B166" s="50"/>
      <c r="J166" s="50">
        <v>43688</v>
      </c>
      <c r="K166" s="50">
        <v>43779</v>
      </c>
      <c r="U166" s="79">
        <v>43964</v>
      </c>
    </row>
    <row r="167" spans="1:21" x14ac:dyDescent="0.25">
      <c r="A167" s="50"/>
      <c r="B167" s="50"/>
      <c r="J167" s="50">
        <v>43689</v>
      </c>
      <c r="K167" s="50">
        <v>43780</v>
      </c>
      <c r="U167" s="79">
        <v>43965</v>
      </c>
    </row>
    <row r="168" spans="1:21" x14ac:dyDescent="0.25">
      <c r="A168" s="50"/>
      <c r="B168" s="50"/>
      <c r="J168" s="50">
        <v>43690</v>
      </c>
      <c r="K168" s="50">
        <v>43781</v>
      </c>
      <c r="U168" s="79">
        <v>43966</v>
      </c>
    </row>
    <row r="169" spans="1:21" x14ac:dyDescent="0.25">
      <c r="A169" s="50"/>
      <c r="B169" s="50"/>
      <c r="J169" s="50">
        <v>43691</v>
      </c>
      <c r="K169" s="50">
        <v>43782</v>
      </c>
      <c r="U169" s="79">
        <v>43967</v>
      </c>
    </row>
    <row r="170" spans="1:21" x14ac:dyDescent="0.25">
      <c r="A170" s="50"/>
      <c r="B170" s="50"/>
      <c r="J170" s="50">
        <v>43692</v>
      </c>
      <c r="K170" s="50">
        <v>43783</v>
      </c>
      <c r="U170" s="79">
        <v>43968</v>
      </c>
    </row>
    <row r="171" spans="1:21" x14ac:dyDescent="0.25">
      <c r="A171" s="50"/>
      <c r="B171" s="50"/>
      <c r="J171" s="50">
        <v>43693</v>
      </c>
      <c r="K171" s="50">
        <v>43784</v>
      </c>
      <c r="U171" s="79">
        <v>43969</v>
      </c>
    </row>
    <row r="172" spans="1:21" x14ac:dyDescent="0.25">
      <c r="A172" s="50"/>
      <c r="B172" s="50"/>
      <c r="J172" s="50">
        <v>43694</v>
      </c>
      <c r="K172" s="50">
        <v>43785</v>
      </c>
      <c r="U172" s="79">
        <v>43970</v>
      </c>
    </row>
    <row r="173" spans="1:21" x14ac:dyDescent="0.25">
      <c r="A173" s="50"/>
      <c r="B173" s="50"/>
      <c r="J173" s="50">
        <v>43695</v>
      </c>
      <c r="K173" s="50">
        <v>43786</v>
      </c>
      <c r="U173" s="79">
        <v>43971</v>
      </c>
    </row>
    <row r="174" spans="1:21" x14ac:dyDescent="0.25">
      <c r="A174" s="50"/>
      <c r="B174" s="50"/>
      <c r="J174" s="50">
        <v>43696</v>
      </c>
      <c r="K174" s="50">
        <v>43787</v>
      </c>
      <c r="U174" s="79">
        <v>43972</v>
      </c>
    </row>
    <row r="175" spans="1:21" x14ac:dyDescent="0.25">
      <c r="A175" s="50"/>
      <c r="B175" s="50"/>
      <c r="J175" s="50">
        <v>43697</v>
      </c>
      <c r="K175" s="50">
        <v>43788</v>
      </c>
      <c r="U175" s="79">
        <v>43973</v>
      </c>
    </row>
    <row r="176" spans="1:21" x14ac:dyDescent="0.25">
      <c r="A176" s="50"/>
      <c r="B176" s="50"/>
      <c r="J176" s="50">
        <v>43698</v>
      </c>
      <c r="K176" s="50">
        <v>43789</v>
      </c>
      <c r="U176" s="79">
        <v>43974</v>
      </c>
    </row>
    <row r="177" spans="1:21" x14ac:dyDescent="0.25">
      <c r="A177" s="50"/>
      <c r="B177" s="50"/>
      <c r="J177" s="50">
        <v>43699</v>
      </c>
      <c r="K177" s="50">
        <v>43790</v>
      </c>
      <c r="U177" s="79">
        <v>43975</v>
      </c>
    </row>
    <row r="178" spans="1:21" x14ac:dyDescent="0.25">
      <c r="A178" s="50"/>
      <c r="B178" s="50"/>
      <c r="J178" s="50">
        <v>43700</v>
      </c>
      <c r="K178" s="50">
        <v>43791</v>
      </c>
      <c r="U178" s="79">
        <v>43976</v>
      </c>
    </row>
    <row r="179" spans="1:21" x14ac:dyDescent="0.25">
      <c r="A179" s="50"/>
      <c r="B179" s="50"/>
      <c r="J179" s="50">
        <v>43701</v>
      </c>
      <c r="K179" s="50">
        <v>43792</v>
      </c>
      <c r="U179" s="79">
        <v>43977</v>
      </c>
    </row>
    <row r="180" spans="1:21" x14ac:dyDescent="0.25">
      <c r="A180" s="50"/>
      <c r="B180" s="50"/>
      <c r="J180" s="50">
        <v>43702</v>
      </c>
      <c r="K180" s="50">
        <v>43793</v>
      </c>
      <c r="U180" s="79">
        <v>43978</v>
      </c>
    </row>
    <row r="181" spans="1:21" x14ac:dyDescent="0.25">
      <c r="A181" s="50"/>
      <c r="B181" s="50"/>
      <c r="J181" s="50">
        <v>43703</v>
      </c>
      <c r="K181" s="50">
        <v>43794</v>
      </c>
      <c r="U181" s="79">
        <v>43979</v>
      </c>
    </row>
    <row r="182" spans="1:21" x14ac:dyDescent="0.25">
      <c r="A182" s="50"/>
      <c r="B182" s="50"/>
      <c r="J182" s="50">
        <v>43704</v>
      </c>
      <c r="K182" s="50">
        <v>43795</v>
      </c>
      <c r="U182" s="79">
        <v>43980</v>
      </c>
    </row>
    <row r="183" spans="1:21" x14ac:dyDescent="0.25">
      <c r="A183" s="50"/>
      <c r="B183" s="50"/>
      <c r="J183" s="50">
        <v>43705</v>
      </c>
      <c r="K183" s="50">
        <v>43796</v>
      </c>
      <c r="U183" s="79">
        <v>43981</v>
      </c>
    </row>
    <row r="184" spans="1:21" x14ac:dyDescent="0.25">
      <c r="A184" s="50"/>
      <c r="B184" s="50"/>
      <c r="J184" s="50">
        <v>43706</v>
      </c>
      <c r="K184" s="50">
        <v>43797</v>
      </c>
      <c r="U184" s="79">
        <v>43982</v>
      </c>
    </row>
    <row r="185" spans="1:21" x14ac:dyDescent="0.25">
      <c r="A185" s="50"/>
      <c r="B185" s="50"/>
      <c r="J185" s="50">
        <v>43707</v>
      </c>
      <c r="K185" s="50">
        <v>43798</v>
      </c>
      <c r="U185" s="79">
        <v>43983</v>
      </c>
    </row>
    <row r="186" spans="1:21" x14ac:dyDescent="0.25">
      <c r="A186" s="50"/>
      <c r="B186" s="50"/>
      <c r="J186" s="50">
        <v>43708</v>
      </c>
      <c r="K186" s="50">
        <v>43799</v>
      </c>
      <c r="U186" s="79">
        <v>43984</v>
      </c>
    </row>
    <row r="187" spans="1:21" x14ac:dyDescent="0.25">
      <c r="A187" s="50"/>
      <c r="J187" s="50">
        <v>43709</v>
      </c>
      <c r="K187" s="50">
        <v>43800</v>
      </c>
      <c r="U187" s="79">
        <v>43985</v>
      </c>
    </row>
    <row r="188" spans="1:21" x14ac:dyDescent="0.25">
      <c r="J188" s="50">
        <v>43710</v>
      </c>
      <c r="K188" s="50">
        <v>43801</v>
      </c>
      <c r="U188" s="79">
        <v>43986</v>
      </c>
    </row>
    <row r="189" spans="1:21" x14ac:dyDescent="0.25">
      <c r="J189" s="50">
        <v>43711</v>
      </c>
      <c r="K189" s="50">
        <v>43802</v>
      </c>
      <c r="U189" s="79">
        <v>43987</v>
      </c>
    </row>
    <row r="190" spans="1:21" x14ac:dyDescent="0.25">
      <c r="J190" s="50">
        <v>43712</v>
      </c>
      <c r="K190" s="50">
        <v>43803</v>
      </c>
      <c r="U190" s="79">
        <v>43988</v>
      </c>
    </row>
    <row r="191" spans="1:21" x14ac:dyDescent="0.25">
      <c r="J191" s="50">
        <v>43713</v>
      </c>
      <c r="K191" s="50">
        <v>43804</v>
      </c>
      <c r="U191" s="79">
        <v>43989</v>
      </c>
    </row>
    <row r="192" spans="1:21" x14ac:dyDescent="0.25">
      <c r="J192" s="50">
        <v>43714</v>
      </c>
      <c r="K192" s="50">
        <v>43805</v>
      </c>
      <c r="U192" s="79">
        <v>43990</v>
      </c>
    </row>
    <row r="193" spans="10:21" x14ac:dyDescent="0.25">
      <c r="J193" s="50">
        <v>43715</v>
      </c>
      <c r="K193" s="50">
        <v>43806</v>
      </c>
      <c r="U193" s="79">
        <v>43991</v>
      </c>
    </row>
    <row r="194" spans="10:21" x14ac:dyDescent="0.25">
      <c r="J194" s="50">
        <v>43716</v>
      </c>
      <c r="K194" s="50">
        <v>43807</v>
      </c>
      <c r="U194" s="79">
        <v>43992</v>
      </c>
    </row>
    <row r="195" spans="10:21" x14ac:dyDescent="0.25">
      <c r="J195" s="50">
        <v>43717</v>
      </c>
      <c r="K195" s="50">
        <v>43808</v>
      </c>
      <c r="U195" s="79">
        <v>43993</v>
      </c>
    </row>
    <row r="196" spans="10:21" x14ac:dyDescent="0.25">
      <c r="J196" s="50">
        <v>43718</v>
      </c>
      <c r="K196" s="50">
        <v>43809</v>
      </c>
      <c r="U196" s="79">
        <v>43994</v>
      </c>
    </row>
    <row r="197" spans="10:21" x14ac:dyDescent="0.25">
      <c r="J197" s="50">
        <v>43719</v>
      </c>
      <c r="K197" s="50">
        <v>43810</v>
      </c>
      <c r="U197" s="79">
        <v>43995</v>
      </c>
    </row>
    <row r="198" spans="10:21" x14ac:dyDescent="0.25">
      <c r="J198" s="50">
        <v>43720</v>
      </c>
      <c r="K198" s="50">
        <v>43811</v>
      </c>
      <c r="U198" s="79">
        <v>43996</v>
      </c>
    </row>
    <row r="199" spans="10:21" x14ac:dyDescent="0.25">
      <c r="J199" s="50">
        <v>43721</v>
      </c>
      <c r="K199" s="50">
        <v>43812</v>
      </c>
      <c r="U199" s="79">
        <v>43997</v>
      </c>
    </row>
    <row r="200" spans="10:21" x14ac:dyDescent="0.25">
      <c r="J200" s="50">
        <v>43722</v>
      </c>
      <c r="K200" s="50">
        <v>43813</v>
      </c>
      <c r="U200" s="79">
        <v>43998</v>
      </c>
    </row>
    <row r="201" spans="10:21" x14ac:dyDescent="0.25">
      <c r="J201" s="50">
        <v>43723</v>
      </c>
      <c r="K201" s="50">
        <v>43814</v>
      </c>
      <c r="U201" s="79">
        <v>43999</v>
      </c>
    </row>
    <row r="202" spans="10:21" x14ac:dyDescent="0.25">
      <c r="J202" s="50">
        <v>43724</v>
      </c>
      <c r="K202" s="50">
        <v>43815</v>
      </c>
      <c r="U202" s="79">
        <v>44000</v>
      </c>
    </row>
    <row r="203" spans="10:21" x14ac:dyDescent="0.25">
      <c r="J203" s="50">
        <v>43725</v>
      </c>
      <c r="K203" s="50">
        <v>43816</v>
      </c>
      <c r="U203" s="79">
        <v>44001</v>
      </c>
    </row>
    <row r="204" spans="10:21" x14ac:dyDescent="0.25">
      <c r="J204" s="50">
        <v>43726</v>
      </c>
      <c r="K204" s="50">
        <v>43817</v>
      </c>
      <c r="U204" s="79">
        <v>44002</v>
      </c>
    </row>
    <row r="205" spans="10:21" x14ac:dyDescent="0.25">
      <c r="J205" s="50">
        <v>43727</v>
      </c>
      <c r="K205" s="50">
        <v>43818</v>
      </c>
      <c r="U205" s="79">
        <v>44003</v>
      </c>
    </row>
    <row r="206" spans="10:21" x14ac:dyDescent="0.25">
      <c r="J206" s="50">
        <v>43728</v>
      </c>
      <c r="K206" s="50">
        <v>43819</v>
      </c>
      <c r="U206" s="79">
        <v>44004</v>
      </c>
    </row>
    <row r="207" spans="10:21" x14ac:dyDescent="0.25">
      <c r="J207" s="50">
        <v>43729</v>
      </c>
      <c r="K207" s="50">
        <v>43820</v>
      </c>
      <c r="U207" s="79">
        <v>44005</v>
      </c>
    </row>
    <row r="208" spans="10:21" x14ac:dyDescent="0.25">
      <c r="J208" s="50">
        <v>43730</v>
      </c>
      <c r="K208" s="50">
        <v>43821</v>
      </c>
      <c r="U208" s="79">
        <v>44006</v>
      </c>
    </row>
    <row r="209" spans="10:21" x14ac:dyDescent="0.25">
      <c r="J209" s="50">
        <v>43731</v>
      </c>
      <c r="K209" s="50">
        <v>43822</v>
      </c>
      <c r="U209" s="79">
        <v>44007</v>
      </c>
    </row>
    <row r="210" spans="10:21" x14ac:dyDescent="0.25">
      <c r="J210" s="50">
        <v>43732</v>
      </c>
      <c r="K210" s="50">
        <v>43823</v>
      </c>
      <c r="U210" s="79">
        <v>44008</v>
      </c>
    </row>
    <row r="211" spans="10:21" x14ac:dyDescent="0.25">
      <c r="J211" s="50">
        <v>43733</v>
      </c>
      <c r="K211" s="50">
        <v>43824</v>
      </c>
      <c r="U211" s="79">
        <v>44009</v>
      </c>
    </row>
    <row r="212" spans="10:21" x14ac:dyDescent="0.25">
      <c r="J212" s="50">
        <v>43734</v>
      </c>
      <c r="K212" s="50">
        <v>43825</v>
      </c>
      <c r="U212" s="79">
        <v>44010</v>
      </c>
    </row>
    <row r="213" spans="10:21" x14ac:dyDescent="0.25">
      <c r="J213" s="50">
        <v>43735</v>
      </c>
      <c r="K213" s="50">
        <v>43826</v>
      </c>
      <c r="U213" s="79">
        <v>44011</v>
      </c>
    </row>
    <row r="214" spans="10:21" x14ac:dyDescent="0.25">
      <c r="J214" s="50">
        <v>43736</v>
      </c>
      <c r="K214" s="50">
        <v>43827</v>
      </c>
      <c r="U214" s="79">
        <v>44012</v>
      </c>
    </row>
    <row r="215" spans="10:21" x14ac:dyDescent="0.25">
      <c r="J215" s="50">
        <v>43737</v>
      </c>
      <c r="K215" s="50">
        <v>43828</v>
      </c>
      <c r="U215" s="79">
        <v>44013</v>
      </c>
    </row>
    <row r="216" spans="10:21" x14ac:dyDescent="0.25">
      <c r="J216" s="50">
        <v>43738</v>
      </c>
      <c r="K216" s="50">
        <v>43829</v>
      </c>
      <c r="U216" s="79">
        <v>44014</v>
      </c>
    </row>
    <row r="217" spans="10:21" x14ac:dyDescent="0.25">
      <c r="J217" s="50">
        <v>43739</v>
      </c>
      <c r="K217" s="50">
        <v>43830</v>
      </c>
      <c r="U217" s="79">
        <v>44015</v>
      </c>
    </row>
    <row r="218" spans="10:21" x14ac:dyDescent="0.25">
      <c r="J218" s="50">
        <v>43740</v>
      </c>
      <c r="K218" s="50">
        <v>43831</v>
      </c>
      <c r="U218" s="79">
        <v>44016</v>
      </c>
    </row>
    <row r="219" spans="10:21" x14ac:dyDescent="0.25">
      <c r="J219" s="50">
        <v>43741</v>
      </c>
      <c r="K219" s="50">
        <v>43832</v>
      </c>
      <c r="U219" s="79">
        <v>44017</v>
      </c>
    </row>
    <row r="220" spans="10:21" x14ac:dyDescent="0.25">
      <c r="J220" s="50">
        <v>43742</v>
      </c>
      <c r="K220" s="50">
        <v>43833</v>
      </c>
      <c r="U220" s="79">
        <v>44018</v>
      </c>
    </row>
    <row r="221" spans="10:21" x14ac:dyDescent="0.25">
      <c r="J221" s="50">
        <v>43743</v>
      </c>
      <c r="K221" s="50">
        <v>43834</v>
      </c>
      <c r="U221" s="79">
        <v>44019</v>
      </c>
    </row>
    <row r="222" spans="10:21" x14ac:dyDescent="0.25">
      <c r="J222" s="50">
        <v>43744</v>
      </c>
      <c r="K222" s="50">
        <v>43835</v>
      </c>
      <c r="U222" s="79">
        <v>44020</v>
      </c>
    </row>
    <row r="223" spans="10:21" x14ac:dyDescent="0.25">
      <c r="J223" s="50">
        <v>43745</v>
      </c>
      <c r="K223" s="50">
        <v>43836</v>
      </c>
      <c r="U223" s="79">
        <v>44021</v>
      </c>
    </row>
    <row r="224" spans="10:21" x14ac:dyDescent="0.25">
      <c r="J224" s="50">
        <v>43746</v>
      </c>
      <c r="K224" s="50">
        <v>43837</v>
      </c>
      <c r="U224" s="79">
        <v>44022</v>
      </c>
    </row>
    <row r="225" spans="10:21" x14ac:dyDescent="0.25">
      <c r="J225" s="50">
        <v>43747</v>
      </c>
      <c r="K225" s="50">
        <v>43838</v>
      </c>
      <c r="U225" s="79">
        <v>44023</v>
      </c>
    </row>
    <row r="226" spans="10:21" x14ac:dyDescent="0.25">
      <c r="J226" s="50">
        <v>43748</v>
      </c>
      <c r="K226" s="50">
        <v>43839</v>
      </c>
      <c r="U226" s="79">
        <v>44024</v>
      </c>
    </row>
    <row r="227" spans="10:21" x14ac:dyDescent="0.25">
      <c r="J227" s="50">
        <v>43749</v>
      </c>
      <c r="K227" s="50">
        <v>43840</v>
      </c>
      <c r="U227" s="79">
        <v>44025</v>
      </c>
    </row>
    <row r="228" spans="10:21" x14ac:dyDescent="0.25">
      <c r="J228" s="50">
        <v>43750</v>
      </c>
      <c r="K228" s="50">
        <v>43841</v>
      </c>
      <c r="U228" s="79">
        <v>44026</v>
      </c>
    </row>
    <row r="229" spans="10:21" x14ac:dyDescent="0.25">
      <c r="J229" s="50">
        <v>43751</v>
      </c>
      <c r="K229" s="50">
        <v>43842</v>
      </c>
      <c r="U229" s="79">
        <v>44027</v>
      </c>
    </row>
    <row r="230" spans="10:21" x14ac:dyDescent="0.25">
      <c r="J230" s="50">
        <v>43752</v>
      </c>
      <c r="K230" s="50">
        <v>43843</v>
      </c>
      <c r="U230" s="79">
        <v>44028</v>
      </c>
    </row>
    <row r="231" spans="10:21" x14ac:dyDescent="0.25">
      <c r="J231" s="50">
        <v>43753</v>
      </c>
      <c r="K231" s="50">
        <v>43844</v>
      </c>
      <c r="U231" s="79">
        <v>44029</v>
      </c>
    </row>
    <row r="232" spans="10:21" x14ac:dyDescent="0.25">
      <c r="J232" s="50">
        <v>43754</v>
      </c>
      <c r="K232" s="50">
        <v>43845</v>
      </c>
      <c r="U232" s="79">
        <v>44030</v>
      </c>
    </row>
    <row r="233" spans="10:21" x14ac:dyDescent="0.25">
      <c r="J233" s="50">
        <v>43755</v>
      </c>
      <c r="K233" s="50">
        <v>43846</v>
      </c>
      <c r="U233" s="79">
        <v>44031</v>
      </c>
    </row>
    <row r="234" spans="10:21" x14ac:dyDescent="0.25">
      <c r="J234" s="50">
        <v>43756</v>
      </c>
      <c r="K234" s="50">
        <v>43847</v>
      </c>
      <c r="U234" s="79">
        <v>44032</v>
      </c>
    </row>
    <row r="235" spans="10:21" x14ac:dyDescent="0.25">
      <c r="J235" s="50">
        <v>43757</v>
      </c>
      <c r="K235" s="50">
        <v>43848</v>
      </c>
      <c r="U235" s="79">
        <v>44033</v>
      </c>
    </row>
    <row r="236" spans="10:21" x14ac:dyDescent="0.25">
      <c r="J236" s="50">
        <v>43758</v>
      </c>
      <c r="K236" s="50">
        <v>43849</v>
      </c>
      <c r="U236" s="79">
        <v>44034</v>
      </c>
    </row>
    <row r="237" spans="10:21" x14ac:dyDescent="0.25">
      <c r="J237" s="50">
        <v>43759</v>
      </c>
      <c r="K237" s="50">
        <v>43850</v>
      </c>
      <c r="U237" s="79">
        <v>44035</v>
      </c>
    </row>
    <row r="238" spans="10:21" x14ac:dyDescent="0.25">
      <c r="J238" s="50">
        <v>43760</v>
      </c>
      <c r="K238" s="50">
        <v>43851</v>
      </c>
      <c r="U238" s="79">
        <v>44036</v>
      </c>
    </row>
    <row r="239" spans="10:21" x14ac:dyDescent="0.25">
      <c r="J239" s="50">
        <v>43761</v>
      </c>
      <c r="K239" s="50">
        <v>43852</v>
      </c>
      <c r="U239" s="79">
        <v>44037</v>
      </c>
    </row>
    <row r="240" spans="10:21" x14ac:dyDescent="0.25">
      <c r="J240" s="50">
        <v>43762</v>
      </c>
      <c r="K240" s="50">
        <v>43853</v>
      </c>
      <c r="U240" s="79">
        <v>44038</v>
      </c>
    </row>
    <row r="241" spans="10:21" x14ac:dyDescent="0.25">
      <c r="J241" s="50">
        <v>43763</v>
      </c>
      <c r="K241" s="50">
        <v>43854</v>
      </c>
      <c r="U241" s="79">
        <v>44039</v>
      </c>
    </row>
    <row r="242" spans="10:21" x14ac:dyDescent="0.25">
      <c r="J242" s="50">
        <v>43764</v>
      </c>
      <c r="K242" s="50">
        <v>43855</v>
      </c>
      <c r="U242" s="79">
        <v>44040</v>
      </c>
    </row>
    <row r="243" spans="10:21" x14ac:dyDescent="0.25">
      <c r="J243" s="50">
        <v>43765</v>
      </c>
      <c r="K243" s="50">
        <v>43856</v>
      </c>
      <c r="U243" s="79">
        <v>44041</v>
      </c>
    </row>
    <row r="244" spans="10:21" x14ac:dyDescent="0.25">
      <c r="J244" s="50">
        <v>43766</v>
      </c>
      <c r="K244" s="50">
        <v>43857</v>
      </c>
      <c r="U244" s="79">
        <v>44042</v>
      </c>
    </row>
    <row r="245" spans="10:21" x14ac:dyDescent="0.25">
      <c r="J245" s="50">
        <v>43767</v>
      </c>
      <c r="K245" s="50">
        <v>43858</v>
      </c>
      <c r="U245" s="79">
        <v>44043</v>
      </c>
    </row>
    <row r="246" spans="10:21" x14ac:dyDescent="0.25">
      <c r="J246" s="50">
        <v>43768</v>
      </c>
      <c r="K246" s="50">
        <v>43859</v>
      </c>
      <c r="U246" s="79">
        <v>44044</v>
      </c>
    </row>
    <row r="247" spans="10:21" x14ac:dyDescent="0.25">
      <c r="J247" s="50">
        <v>43769</v>
      </c>
      <c r="K247" s="50">
        <v>43860</v>
      </c>
      <c r="U247" s="79">
        <v>44045</v>
      </c>
    </row>
    <row r="248" spans="10:21" x14ac:dyDescent="0.25">
      <c r="J248" s="50">
        <v>43770</v>
      </c>
      <c r="K248" s="50">
        <v>43861</v>
      </c>
      <c r="U248" s="79">
        <v>44046</v>
      </c>
    </row>
    <row r="249" spans="10:21" x14ac:dyDescent="0.25">
      <c r="J249" s="50">
        <v>43771</v>
      </c>
      <c r="K249" s="50">
        <v>43862</v>
      </c>
      <c r="U249" s="79">
        <v>44047</v>
      </c>
    </row>
    <row r="250" spans="10:21" x14ac:dyDescent="0.25">
      <c r="J250" s="50">
        <v>43772</v>
      </c>
      <c r="K250" s="50">
        <v>43863</v>
      </c>
      <c r="U250" s="79">
        <v>44048</v>
      </c>
    </row>
    <row r="251" spans="10:21" x14ac:dyDescent="0.25">
      <c r="J251" s="50">
        <v>43773</v>
      </c>
      <c r="K251" s="50">
        <v>43864</v>
      </c>
      <c r="U251" s="79">
        <v>44049</v>
      </c>
    </row>
    <row r="252" spans="10:21" x14ac:dyDescent="0.25">
      <c r="J252" s="50">
        <v>43774</v>
      </c>
      <c r="K252" s="50">
        <v>43865</v>
      </c>
      <c r="U252" s="79">
        <v>44050</v>
      </c>
    </row>
    <row r="253" spans="10:21" x14ac:dyDescent="0.25">
      <c r="J253" s="50">
        <v>43775</v>
      </c>
      <c r="K253" s="50">
        <v>43866</v>
      </c>
      <c r="U253" s="79">
        <v>44051</v>
      </c>
    </row>
    <row r="254" spans="10:21" x14ac:dyDescent="0.25">
      <c r="J254" s="50">
        <v>43776</v>
      </c>
      <c r="K254" s="50">
        <v>43867</v>
      </c>
      <c r="U254" s="79">
        <v>44052</v>
      </c>
    </row>
    <row r="255" spans="10:21" x14ac:dyDescent="0.25">
      <c r="J255" s="50">
        <v>43777</v>
      </c>
      <c r="K255" s="50">
        <v>43868</v>
      </c>
      <c r="U255" s="79">
        <v>44053</v>
      </c>
    </row>
    <row r="256" spans="10:21" x14ac:dyDescent="0.25">
      <c r="J256" s="50">
        <v>43778</v>
      </c>
      <c r="K256" s="50">
        <v>43869</v>
      </c>
      <c r="U256" s="79">
        <v>44054</v>
      </c>
    </row>
    <row r="257" spans="10:21" x14ac:dyDescent="0.25">
      <c r="J257" s="50">
        <v>43779</v>
      </c>
      <c r="K257" s="50">
        <v>43870</v>
      </c>
      <c r="U257" s="79">
        <v>44055</v>
      </c>
    </row>
    <row r="258" spans="10:21" x14ac:dyDescent="0.25">
      <c r="J258" s="50">
        <v>43780</v>
      </c>
      <c r="K258" s="50">
        <v>43871</v>
      </c>
      <c r="U258" s="79">
        <v>44056</v>
      </c>
    </row>
    <row r="259" spans="10:21" x14ac:dyDescent="0.25">
      <c r="J259" s="50">
        <v>43781</v>
      </c>
      <c r="K259" s="50">
        <v>43872</v>
      </c>
      <c r="U259" s="79">
        <v>44057</v>
      </c>
    </row>
    <row r="260" spans="10:21" x14ac:dyDescent="0.25">
      <c r="J260" s="50">
        <v>43782</v>
      </c>
      <c r="K260" s="50">
        <v>43873</v>
      </c>
      <c r="U260" s="79">
        <v>44058</v>
      </c>
    </row>
    <row r="261" spans="10:21" x14ac:dyDescent="0.25">
      <c r="J261" s="50">
        <v>43783</v>
      </c>
      <c r="K261" s="50">
        <v>43874</v>
      </c>
      <c r="U261" s="79">
        <v>44059</v>
      </c>
    </row>
    <row r="262" spans="10:21" x14ac:dyDescent="0.25">
      <c r="J262" s="50">
        <v>43784</v>
      </c>
      <c r="K262" s="50">
        <v>43875</v>
      </c>
      <c r="U262" s="79">
        <v>44060</v>
      </c>
    </row>
    <row r="263" spans="10:21" x14ac:dyDescent="0.25">
      <c r="J263" s="50">
        <v>43785</v>
      </c>
      <c r="K263" s="50">
        <v>43876</v>
      </c>
      <c r="U263" s="79">
        <v>44061</v>
      </c>
    </row>
    <row r="264" spans="10:21" x14ac:dyDescent="0.25">
      <c r="J264" s="50">
        <v>43786</v>
      </c>
      <c r="K264" s="50">
        <v>43877</v>
      </c>
      <c r="U264" s="79">
        <v>44062</v>
      </c>
    </row>
    <row r="265" spans="10:21" x14ac:dyDescent="0.25">
      <c r="J265" s="50">
        <v>43787</v>
      </c>
      <c r="K265" s="50">
        <v>43878</v>
      </c>
      <c r="U265" s="79">
        <v>44063</v>
      </c>
    </row>
    <row r="266" spans="10:21" x14ac:dyDescent="0.25">
      <c r="J266" s="50">
        <v>43788</v>
      </c>
      <c r="K266" s="50">
        <v>43879</v>
      </c>
      <c r="U266" s="79">
        <v>44064</v>
      </c>
    </row>
    <row r="267" spans="10:21" x14ac:dyDescent="0.25">
      <c r="J267" s="50">
        <v>43789</v>
      </c>
      <c r="K267" s="50">
        <v>43880</v>
      </c>
      <c r="U267" s="79">
        <v>44065</v>
      </c>
    </row>
    <row r="268" spans="10:21" x14ac:dyDescent="0.25">
      <c r="J268" s="50">
        <v>43790</v>
      </c>
      <c r="K268" s="50">
        <v>43881</v>
      </c>
      <c r="U268" s="79">
        <v>44066</v>
      </c>
    </row>
    <row r="269" spans="10:21" x14ac:dyDescent="0.25">
      <c r="J269" s="50">
        <v>43791</v>
      </c>
      <c r="K269" s="50">
        <v>43882</v>
      </c>
      <c r="U269" s="79">
        <v>44067</v>
      </c>
    </row>
    <row r="270" spans="10:21" x14ac:dyDescent="0.25">
      <c r="J270" s="50">
        <v>43792</v>
      </c>
      <c r="K270" s="50">
        <v>43883</v>
      </c>
      <c r="U270" s="79">
        <v>44068</v>
      </c>
    </row>
    <row r="271" spans="10:21" x14ac:dyDescent="0.25">
      <c r="J271" s="50">
        <v>43793</v>
      </c>
      <c r="K271" s="50">
        <v>43884</v>
      </c>
      <c r="U271" s="79">
        <v>44069</v>
      </c>
    </row>
    <row r="272" spans="10:21" x14ac:dyDescent="0.25">
      <c r="J272" s="50">
        <v>43794</v>
      </c>
      <c r="K272" s="50">
        <v>43885</v>
      </c>
      <c r="U272" s="79">
        <v>44070</v>
      </c>
    </row>
    <row r="273" spans="10:21" x14ac:dyDescent="0.25">
      <c r="J273" s="50">
        <v>43795</v>
      </c>
      <c r="K273" s="50">
        <v>43886</v>
      </c>
      <c r="U273" s="79">
        <v>44071</v>
      </c>
    </row>
    <row r="274" spans="10:21" x14ac:dyDescent="0.25">
      <c r="J274" s="50">
        <v>43796</v>
      </c>
      <c r="K274" s="50">
        <v>43887</v>
      </c>
      <c r="U274" s="79">
        <v>44072</v>
      </c>
    </row>
    <row r="275" spans="10:21" x14ac:dyDescent="0.25">
      <c r="J275" s="50">
        <v>43797</v>
      </c>
      <c r="K275" s="50">
        <v>43888</v>
      </c>
      <c r="U275" s="79">
        <v>44073</v>
      </c>
    </row>
    <row r="276" spans="10:21" x14ac:dyDescent="0.25">
      <c r="J276" s="50">
        <v>43798</v>
      </c>
      <c r="K276" s="50">
        <v>43889</v>
      </c>
      <c r="U276" s="79">
        <v>44074</v>
      </c>
    </row>
    <row r="277" spans="10:21" x14ac:dyDescent="0.25">
      <c r="J277" s="50">
        <v>43799</v>
      </c>
      <c r="K277" s="50">
        <v>43890</v>
      </c>
      <c r="U277" s="79">
        <v>44075</v>
      </c>
    </row>
    <row r="278" spans="10:21" x14ac:dyDescent="0.25">
      <c r="J278" s="50">
        <v>43800</v>
      </c>
      <c r="K278" s="50">
        <v>43891</v>
      </c>
      <c r="U278" s="79">
        <v>44076</v>
      </c>
    </row>
    <row r="279" spans="10:21" x14ac:dyDescent="0.25">
      <c r="J279" s="50">
        <v>43801</v>
      </c>
      <c r="K279" s="50">
        <v>43892</v>
      </c>
      <c r="U279" s="79">
        <v>44077</v>
      </c>
    </row>
    <row r="280" spans="10:21" x14ac:dyDescent="0.25">
      <c r="J280" s="50">
        <v>43802</v>
      </c>
      <c r="K280" s="50">
        <v>43893</v>
      </c>
      <c r="U280" s="79">
        <v>44078</v>
      </c>
    </row>
    <row r="281" spans="10:21" x14ac:dyDescent="0.25">
      <c r="J281" s="50">
        <v>43803</v>
      </c>
      <c r="K281" s="50">
        <v>43894</v>
      </c>
      <c r="U281" s="79">
        <v>44079</v>
      </c>
    </row>
    <row r="282" spans="10:21" x14ac:dyDescent="0.25">
      <c r="J282" s="50">
        <v>43804</v>
      </c>
      <c r="K282" s="50">
        <v>43895</v>
      </c>
      <c r="U282" s="79">
        <v>44080</v>
      </c>
    </row>
    <row r="283" spans="10:21" x14ac:dyDescent="0.25">
      <c r="J283" s="50">
        <v>43805</v>
      </c>
      <c r="K283" s="50">
        <v>43896</v>
      </c>
      <c r="U283" s="79">
        <v>44081</v>
      </c>
    </row>
    <row r="284" spans="10:21" x14ac:dyDescent="0.25">
      <c r="J284" s="50">
        <v>43806</v>
      </c>
      <c r="K284" s="50">
        <v>43897</v>
      </c>
      <c r="U284" s="79">
        <v>44082</v>
      </c>
    </row>
    <row r="285" spans="10:21" x14ac:dyDescent="0.25">
      <c r="J285" s="50">
        <v>43807</v>
      </c>
      <c r="K285" s="50">
        <v>43898</v>
      </c>
      <c r="U285" s="79">
        <v>44083</v>
      </c>
    </row>
    <row r="286" spans="10:21" x14ac:dyDescent="0.25">
      <c r="J286" s="50">
        <v>43808</v>
      </c>
      <c r="K286" s="50">
        <v>43899</v>
      </c>
      <c r="U286" s="79">
        <v>44084</v>
      </c>
    </row>
    <row r="287" spans="10:21" x14ac:dyDescent="0.25">
      <c r="J287" s="50">
        <v>43809</v>
      </c>
      <c r="K287" s="50">
        <v>43900</v>
      </c>
      <c r="U287" s="79">
        <v>44085</v>
      </c>
    </row>
    <row r="288" spans="10:21" x14ac:dyDescent="0.25">
      <c r="J288" s="50">
        <v>43810</v>
      </c>
      <c r="K288" s="50">
        <v>43901</v>
      </c>
      <c r="U288" s="79">
        <v>44086</v>
      </c>
    </row>
    <row r="289" spans="10:21" x14ac:dyDescent="0.25">
      <c r="J289" s="50">
        <v>43811</v>
      </c>
      <c r="K289" s="50">
        <v>43902</v>
      </c>
      <c r="U289" s="79">
        <v>44087</v>
      </c>
    </row>
    <row r="290" spans="10:21" x14ac:dyDescent="0.25">
      <c r="J290" s="50">
        <v>43812</v>
      </c>
      <c r="K290" s="50">
        <v>43903</v>
      </c>
      <c r="U290" s="79">
        <v>44088</v>
      </c>
    </row>
    <row r="291" spans="10:21" x14ac:dyDescent="0.25">
      <c r="J291" s="50">
        <v>43813</v>
      </c>
      <c r="K291" s="50">
        <v>43904</v>
      </c>
      <c r="U291" s="79">
        <v>44089</v>
      </c>
    </row>
    <row r="292" spans="10:21" x14ac:dyDescent="0.25">
      <c r="J292" s="50">
        <v>43814</v>
      </c>
      <c r="K292" s="50">
        <v>43905</v>
      </c>
      <c r="U292" s="79">
        <v>44090</v>
      </c>
    </row>
    <row r="293" spans="10:21" x14ac:dyDescent="0.25">
      <c r="J293" s="50">
        <v>43815</v>
      </c>
      <c r="K293" s="50">
        <v>43906</v>
      </c>
      <c r="U293" s="79">
        <v>44091</v>
      </c>
    </row>
    <row r="294" spans="10:21" x14ac:dyDescent="0.25">
      <c r="J294" s="50">
        <v>43816</v>
      </c>
      <c r="K294" s="50">
        <v>43907</v>
      </c>
      <c r="U294" s="79">
        <v>44092</v>
      </c>
    </row>
    <row r="295" spans="10:21" x14ac:dyDescent="0.25">
      <c r="J295" s="50">
        <v>43817</v>
      </c>
      <c r="K295" s="50">
        <v>43908</v>
      </c>
      <c r="U295" s="79">
        <v>44093</v>
      </c>
    </row>
    <row r="296" spans="10:21" x14ac:dyDescent="0.25">
      <c r="J296" s="50">
        <v>43818</v>
      </c>
      <c r="K296" s="50">
        <v>43909</v>
      </c>
      <c r="U296" s="79">
        <v>44094</v>
      </c>
    </row>
    <row r="297" spans="10:21" x14ac:dyDescent="0.25">
      <c r="J297" s="50">
        <v>43819</v>
      </c>
      <c r="K297" s="50">
        <v>43910</v>
      </c>
      <c r="U297" s="79">
        <v>44095</v>
      </c>
    </row>
    <row r="298" spans="10:21" x14ac:dyDescent="0.25">
      <c r="J298" s="50">
        <v>43820</v>
      </c>
      <c r="K298" s="50">
        <v>43911</v>
      </c>
      <c r="U298" s="79">
        <v>44096</v>
      </c>
    </row>
    <row r="299" spans="10:21" x14ac:dyDescent="0.25">
      <c r="J299" s="50">
        <v>43821</v>
      </c>
      <c r="K299" s="50">
        <v>43912</v>
      </c>
      <c r="U299" s="79">
        <v>44097</v>
      </c>
    </row>
    <row r="300" spans="10:21" x14ac:dyDescent="0.25">
      <c r="J300" s="50">
        <v>43822</v>
      </c>
      <c r="K300" s="50">
        <v>43913</v>
      </c>
      <c r="U300" s="79">
        <v>44098</v>
      </c>
    </row>
    <row r="301" spans="10:21" x14ac:dyDescent="0.25">
      <c r="J301" s="50">
        <v>43823</v>
      </c>
      <c r="K301" s="50">
        <v>43914</v>
      </c>
      <c r="U301" s="79">
        <v>44099</v>
      </c>
    </row>
    <row r="302" spans="10:21" x14ac:dyDescent="0.25">
      <c r="J302" s="50">
        <v>43824</v>
      </c>
      <c r="K302" s="50">
        <v>43915</v>
      </c>
      <c r="U302" s="79">
        <v>44100</v>
      </c>
    </row>
    <row r="303" spans="10:21" x14ac:dyDescent="0.25">
      <c r="J303" s="50">
        <v>43825</v>
      </c>
      <c r="K303" s="50">
        <v>43916</v>
      </c>
      <c r="U303" s="79">
        <v>44101</v>
      </c>
    </row>
    <row r="304" spans="10:21" x14ac:dyDescent="0.25">
      <c r="J304" s="50">
        <v>43826</v>
      </c>
      <c r="K304" s="50">
        <v>43917</v>
      </c>
      <c r="U304" s="79">
        <v>44102</v>
      </c>
    </row>
    <row r="305" spans="10:21" x14ac:dyDescent="0.25">
      <c r="J305" s="50">
        <v>43827</v>
      </c>
      <c r="K305" s="50">
        <v>43918</v>
      </c>
      <c r="U305" s="79">
        <v>44103</v>
      </c>
    </row>
    <row r="306" spans="10:21" x14ac:dyDescent="0.25">
      <c r="J306" s="50">
        <v>43828</v>
      </c>
      <c r="K306" s="50">
        <v>43919</v>
      </c>
      <c r="U306" s="79">
        <v>44104</v>
      </c>
    </row>
    <row r="307" spans="10:21" x14ac:dyDescent="0.25">
      <c r="J307" s="50">
        <v>43829</v>
      </c>
      <c r="K307" s="50">
        <v>43920</v>
      </c>
      <c r="U307" s="79">
        <v>44105</v>
      </c>
    </row>
    <row r="308" spans="10:21" x14ac:dyDescent="0.25">
      <c r="J308" s="50">
        <v>43830</v>
      </c>
      <c r="K308" s="50">
        <v>43921</v>
      </c>
      <c r="U308" s="79">
        <v>44106</v>
      </c>
    </row>
    <row r="309" spans="10:21" x14ac:dyDescent="0.25">
      <c r="J309" s="50">
        <v>43831</v>
      </c>
      <c r="K309" s="50">
        <v>43922</v>
      </c>
      <c r="U309" s="79">
        <v>44107</v>
      </c>
    </row>
    <row r="310" spans="10:21" x14ac:dyDescent="0.25">
      <c r="J310" s="50">
        <v>43832</v>
      </c>
      <c r="K310" s="50">
        <v>43923</v>
      </c>
      <c r="U310" s="79">
        <v>44108</v>
      </c>
    </row>
    <row r="311" spans="10:21" x14ac:dyDescent="0.25">
      <c r="J311" s="50">
        <v>43833</v>
      </c>
      <c r="K311" s="50">
        <v>43924</v>
      </c>
      <c r="U311" s="79">
        <v>44109</v>
      </c>
    </row>
    <row r="312" spans="10:21" x14ac:dyDescent="0.25">
      <c r="J312" s="50">
        <v>43834</v>
      </c>
      <c r="K312" s="50">
        <v>43925</v>
      </c>
      <c r="U312" s="79">
        <v>44110</v>
      </c>
    </row>
    <row r="313" spans="10:21" x14ac:dyDescent="0.25">
      <c r="J313" s="50">
        <v>43835</v>
      </c>
      <c r="K313" s="50">
        <v>43926</v>
      </c>
      <c r="U313" s="79">
        <v>44111</v>
      </c>
    </row>
    <row r="314" spans="10:21" x14ac:dyDescent="0.25">
      <c r="J314" s="50">
        <v>43836</v>
      </c>
      <c r="K314" s="50">
        <v>43927</v>
      </c>
      <c r="U314" s="79">
        <v>44112</v>
      </c>
    </row>
    <row r="315" spans="10:21" x14ac:dyDescent="0.25">
      <c r="J315" s="50">
        <v>43837</v>
      </c>
      <c r="K315" s="50">
        <v>43928</v>
      </c>
      <c r="U315" s="79">
        <v>44113</v>
      </c>
    </row>
    <row r="316" spans="10:21" x14ac:dyDescent="0.25">
      <c r="J316" s="50">
        <v>43838</v>
      </c>
      <c r="K316" s="50">
        <v>43929</v>
      </c>
      <c r="U316" s="79">
        <v>44114</v>
      </c>
    </row>
    <row r="317" spans="10:21" x14ac:dyDescent="0.25">
      <c r="J317" s="50">
        <v>43839</v>
      </c>
      <c r="K317" s="50">
        <v>43930</v>
      </c>
      <c r="U317" s="79">
        <v>44115</v>
      </c>
    </row>
    <row r="318" spans="10:21" x14ac:dyDescent="0.25">
      <c r="J318" s="50">
        <v>43840</v>
      </c>
      <c r="K318" s="50">
        <v>43931</v>
      </c>
      <c r="U318" s="79">
        <v>44116</v>
      </c>
    </row>
    <row r="319" spans="10:21" x14ac:dyDescent="0.25">
      <c r="J319" s="50">
        <v>43841</v>
      </c>
      <c r="K319" s="50">
        <v>43932</v>
      </c>
      <c r="U319" s="79">
        <v>44117</v>
      </c>
    </row>
    <row r="320" spans="10:21" x14ac:dyDescent="0.25">
      <c r="J320" s="50">
        <v>43842</v>
      </c>
      <c r="K320" s="50">
        <v>43933</v>
      </c>
      <c r="U320" s="79">
        <v>44118</v>
      </c>
    </row>
    <row r="321" spans="10:21" x14ac:dyDescent="0.25">
      <c r="J321" s="50">
        <v>43843</v>
      </c>
      <c r="K321" s="50">
        <v>43934</v>
      </c>
      <c r="U321" s="79">
        <v>44119</v>
      </c>
    </row>
    <row r="322" spans="10:21" x14ac:dyDescent="0.25">
      <c r="J322" s="50">
        <v>43844</v>
      </c>
      <c r="K322" s="50">
        <v>43935</v>
      </c>
      <c r="U322" s="79">
        <v>44120</v>
      </c>
    </row>
    <row r="323" spans="10:21" x14ac:dyDescent="0.25">
      <c r="J323" s="50">
        <v>43845</v>
      </c>
      <c r="K323" s="50">
        <v>43936</v>
      </c>
      <c r="U323" s="79">
        <v>44121</v>
      </c>
    </row>
    <row r="324" spans="10:21" x14ac:dyDescent="0.25">
      <c r="J324" s="50">
        <v>43846</v>
      </c>
      <c r="K324" s="50">
        <v>43937</v>
      </c>
      <c r="U324" s="79">
        <v>44122</v>
      </c>
    </row>
    <row r="325" spans="10:21" x14ac:dyDescent="0.25">
      <c r="J325" s="50">
        <v>43847</v>
      </c>
      <c r="K325" s="50">
        <v>43938</v>
      </c>
      <c r="U325" s="79">
        <v>44123</v>
      </c>
    </row>
    <row r="326" spans="10:21" x14ac:dyDescent="0.25">
      <c r="J326" s="50">
        <v>43848</v>
      </c>
      <c r="K326" s="50">
        <v>43939</v>
      </c>
      <c r="U326" s="79">
        <v>44124</v>
      </c>
    </row>
    <row r="327" spans="10:21" x14ac:dyDescent="0.25">
      <c r="J327" s="50">
        <v>43849</v>
      </c>
      <c r="K327" s="50">
        <v>43940</v>
      </c>
      <c r="U327" s="79">
        <v>44125</v>
      </c>
    </row>
    <row r="328" spans="10:21" x14ac:dyDescent="0.25">
      <c r="J328" s="50">
        <v>43850</v>
      </c>
      <c r="K328" s="50">
        <v>43941</v>
      </c>
      <c r="U328" s="79">
        <v>44126</v>
      </c>
    </row>
    <row r="329" spans="10:21" x14ac:dyDescent="0.25">
      <c r="J329" s="50">
        <v>43851</v>
      </c>
      <c r="K329" s="50">
        <v>43942</v>
      </c>
      <c r="U329" s="79">
        <v>44127</v>
      </c>
    </row>
    <row r="330" spans="10:21" x14ac:dyDescent="0.25">
      <c r="J330" s="50">
        <v>43852</v>
      </c>
      <c r="K330" s="50">
        <v>43943</v>
      </c>
      <c r="U330" s="79">
        <v>44128</v>
      </c>
    </row>
    <row r="331" spans="10:21" x14ac:dyDescent="0.25">
      <c r="J331" s="50">
        <v>43853</v>
      </c>
      <c r="K331" s="50">
        <v>43944</v>
      </c>
      <c r="U331" s="79">
        <v>44129</v>
      </c>
    </row>
    <row r="332" spans="10:21" x14ac:dyDescent="0.25">
      <c r="J332" s="50">
        <v>43854</v>
      </c>
      <c r="K332" s="50">
        <v>43945</v>
      </c>
      <c r="U332" s="79">
        <v>44130</v>
      </c>
    </row>
    <row r="333" spans="10:21" x14ac:dyDescent="0.25">
      <c r="J333" s="50">
        <v>43855</v>
      </c>
      <c r="K333" s="50">
        <v>43946</v>
      </c>
      <c r="U333" s="79">
        <v>44131</v>
      </c>
    </row>
    <row r="334" spans="10:21" x14ac:dyDescent="0.25">
      <c r="J334" s="50">
        <v>43856</v>
      </c>
      <c r="K334" s="50">
        <v>43947</v>
      </c>
      <c r="U334" s="79">
        <v>44132</v>
      </c>
    </row>
    <row r="335" spans="10:21" x14ac:dyDescent="0.25">
      <c r="J335" s="50">
        <v>43857</v>
      </c>
      <c r="K335" s="50">
        <v>43948</v>
      </c>
      <c r="U335" s="79">
        <v>44133</v>
      </c>
    </row>
    <row r="336" spans="10:21" x14ac:dyDescent="0.25">
      <c r="J336" s="50">
        <v>43858</v>
      </c>
      <c r="K336" s="50">
        <v>43949</v>
      </c>
      <c r="U336" s="79">
        <v>44134</v>
      </c>
    </row>
    <row r="337" spans="10:21" x14ac:dyDescent="0.25">
      <c r="J337" s="50">
        <v>43859</v>
      </c>
      <c r="K337" s="50">
        <v>43950</v>
      </c>
      <c r="U337" s="79">
        <v>44135</v>
      </c>
    </row>
    <row r="338" spans="10:21" x14ac:dyDescent="0.25">
      <c r="J338" s="50">
        <v>43860</v>
      </c>
      <c r="K338" s="50">
        <v>43951</v>
      </c>
      <c r="U338" s="79">
        <v>44136</v>
      </c>
    </row>
    <row r="339" spans="10:21" x14ac:dyDescent="0.25">
      <c r="J339" s="50">
        <v>43861</v>
      </c>
      <c r="K339" s="50">
        <v>43952</v>
      </c>
      <c r="U339" s="79">
        <v>44137</v>
      </c>
    </row>
    <row r="340" spans="10:21" x14ac:dyDescent="0.25">
      <c r="J340" s="50">
        <v>43862</v>
      </c>
      <c r="K340" s="50">
        <v>43953</v>
      </c>
      <c r="U340" s="79">
        <v>44138</v>
      </c>
    </row>
    <row r="341" spans="10:21" x14ac:dyDescent="0.25">
      <c r="J341" s="50">
        <v>43863</v>
      </c>
      <c r="K341" s="50">
        <v>43954</v>
      </c>
      <c r="U341" s="79">
        <v>44139</v>
      </c>
    </row>
    <row r="342" spans="10:21" x14ac:dyDescent="0.25">
      <c r="J342" s="50">
        <v>43864</v>
      </c>
      <c r="K342" s="50">
        <v>43955</v>
      </c>
      <c r="U342" s="79">
        <v>44140</v>
      </c>
    </row>
    <row r="343" spans="10:21" x14ac:dyDescent="0.25">
      <c r="J343" s="50">
        <v>43865</v>
      </c>
      <c r="K343" s="50">
        <v>43956</v>
      </c>
      <c r="U343" s="79">
        <v>44141</v>
      </c>
    </row>
    <row r="344" spans="10:21" x14ac:dyDescent="0.25">
      <c r="J344" s="50">
        <v>43866</v>
      </c>
      <c r="K344" s="50">
        <v>43957</v>
      </c>
      <c r="U344" s="79">
        <v>44142</v>
      </c>
    </row>
    <row r="345" spans="10:21" x14ac:dyDescent="0.25">
      <c r="J345" s="50">
        <v>43867</v>
      </c>
      <c r="K345" s="50">
        <v>43958</v>
      </c>
      <c r="U345" s="79">
        <v>44143</v>
      </c>
    </row>
    <row r="346" spans="10:21" x14ac:dyDescent="0.25">
      <c r="J346" s="50">
        <v>43868</v>
      </c>
      <c r="K346" s="50">
        <v>43959</v>
      </c>
      <c r="U346" s="79">
        <v>44144</v>
      </c>
    </row>
    <row r="347" spans="10:21" x14ac:dyDescent="0.25">
      <c r="J347" s="50">
        <v>43869</v>
      </c>
      <c r="K347" s="50">
        <v>43960</v>
      </c>
      <c r="U347" s="79">
        <v>44145</v>
      </c>
    </row>
    <row r="348" spans="10:21" x14ac:dyDescent="0.25">
      <c r="J348" s="50">
        <v>43870</v>
      </c>
      <c r="K348" s="50">
        <v>43961</v>
      </c>
      <c r="U348" s="79">
        <v>44146</v>
      </c>
    </row>
    <row r="349" spans="10:21" x14ac:dyDescent="0.25">
      <c r="J349" s="50">
        <v>43871</v>
      </c>
      <c r="K349" s="50">
        <v>43962</v>
      </c>
      <c r="U349" s="79">
        <v>44147</v>
      </c>
    </row>
    <row r="350" spans="10:21" x14ac:dyDescent="0.25">
      <c r="J350" s="50">
        <v>43872</v>
      </c>
      <c r="K350" s="50">
        <v>43963</v>
      </c>
      <c r="U350" s="79">
        <v>44148</v>
      </c>
    </row>
    <row r="351" spans="10:21" x14ac:dyDescent="0.25">
      <c r="J351" s="50">
        <v>43873</v>
      </c>
      <c r="K351" s="50">
        <v>43964</v>
      </c>
      <c r="U351" s="79">
        <v>44149</v>
      </c>
    </row>
    <row r="352" spans="10:21" x14ac:dyDescent="0.25">
      <c r="J352" s="50">
        <v>43874</v>
      </c>
      <c r="K352" s="50">
        <v>43965</v>
      </c>
      <c r="U352" s="79">
        <v>44150</v>
      </c>
    </row>
    <row r="353" spans="10:21" x14ac:dyDescent="0.25">
      <c r="J353" s="50">
        <v>43875</v>
      </c>
      <c r="K353" s="50">
        <v>43966</v>
      </c>
      <c r="U353" s="79">
        <v>44151</v>
      </c>
    </row>
    <row r="354" spans="10:21" x14ac:dyDescent="0.25">
      <c r="J354" s="50">
        <v>43876</v>
      </c>
      <c r="K354" s="50">
        <v>43967</v>
      </c>
      <c r="U354" s="79">
        <v>44152</v>
      </c>
    </row>
    <row r="355" spans="10:21" x14ac:dyDescent="0.25">
      <c r="J355" s="50">
        <v>43877</v>
      </c>
      <c r="K355" s="50">
        <v>43968</v>
      </c>
      <c r="U355" s="79">
        <v>44153</v>
      </c>
    </row>
    <row r="356" spans="10:21" x14ac:dyDescent="0.25">
      <c r="J356" s="50">
        <v>43878</v>
      </c>
      <c r="K356" s="50">
        <v>43969</v>
      </c>
      <c r="U356" s="79">
        <v>44154</v>
      </c>
    </row>
    <row r="357" spans="10:21" x14ac:dyDescent="0.25">
      <c r="J357" s="50">
        <v>43879</v>
      </c>
      <c r="K357" s="50">
        <v>43970</v>
      </c>
      <c r="U357" s="79">
        <v>44155</v>
      </c>
    </row>
    <row r="358" spans="10:21" x14ac:dyDescent="0.25">
      <c r="J358" s="50">
        <v>43880</v>
      </c>
      <c r="K358" s="50">
        <v>43971</v>
      </c>
      <c r="U358" s="79">
        <v>44156</v>
      </c>
    </row>
    <row r="359" spans="10:21" x14ac:dyDescent="0.25">
      <c r="J359" s="50">
        <v>43881</v>
      </c>
      <c r="K359" s="50">
        <v>43972</v>
      </c>
      <c r="U359" s="79">
        <v>44157</v>
      </c>
    </row>
    <row r="360" spans="10:21" x14ac:dyDescent="0.25">
      <c r="J360" s="50">
        <v>43882</v>
      </c>
      <c r="K360" s="50">
        <v>43973</v>
      </c>
      <c r="U360" s="79">
        <v>44158</v>
      </c>
    </row>
    <row r="361" spans="10:21" x14ac:dyDescent="0.25">
      <c r="J361" s="50">
        <v>43883</v>
      </c>
      <c r="K361" s="50">
        <v>43974</v>
      </c>
      <c r="U361" s="79">
        <v>44159</v>
      </c>
    </row>
    <row r="362" spans="10:21" x14ac:dyDescent="0.25">
      <c r="J362" s="50">
        <v>43884</v>
      </c>
      <c r="K362" s="50">
        <v>43975</v>
      </c>
      <c r="U362" s="79">
        <v>44160</v>
      </c>
    </row>
    <row r="363" spans="10:21" x14ac:dyDescent="0.25">
      <c r="J363" s="50">
        <v>43885</v>
      </c>
      <c r="K363" s="50">
        <v>43976</v>
      </c>
      <c r="U363" s="79">
        <v>44161</v>
      </c>
    </row>
    <row r="364" spans="10:21" x14ac:dyDescent="0.25">
      <c r="J364" s="50">
        <v>43886</v>
      </c>
      <c r="K364" s="50">
        <v>43977</v>
      </c>
      <c r="U364" s="79">
        <v>44162</v>
      </c>
    </row>
    <row r="365" spans="10:21" x14ac:dyDescent="0.25">
      <c r="J365" s="50">
        <v>43887</v>
      </c>
      <c r="K365" s="50">
        <v>43978</v>
      </c>
      <c r="U365" s="79">
        <v>44163</v>
      </c>
    </row>
    <row r="366" spans="10:21" x14ac:dyDescent="0.25">
      <c r="J366" s="50">
        <v>43888</v>
      </c>
      <c r="K366" s="50">
        <v>43979</v>
      </c>
      <c r="U366" s="79">
        <v>44164</v>
      </c>
    </row>
    <row r="367" spans="10:21" x14ac:dyDescent="0.25">
      <c r="J367" s="50">
        <v>43889</v>
      </c>
      <c r="K367" s="50">
        <v>43980</v>
      </c>
      <c r="U367" s="79">
        <v>44165</v>
      </c>
    </row>
    <row r="368" spans="10:21" x14ac:dyDescent="0.25">
      <c r="J368" s="50">
        <v>43890</v>
      </c>
      <c r="K368" s="50">
        <v>43981</v>
      </c>
      <c r="U368" s="79">
        <v>44166</v>
      </c>
    </row>
    <row r="369" spans="10:21" x14ac:dyDescent="0.25">
      <c r="J369" s="50">
        <v>43891</v>
      </c>
      <c r="K369" s="50">
        <v>43982</v>
      </c>
      <c r="U369" s="79">
        <v>44167</v>
      </c>
    </row>
    <row r="370" spans="10:21" x14ac:dyDescent="0.25">
      <c r="J370" s="50">
        <v>43892</v>
      </c>
      <c r="K370" s="50">
        <v>43983</v>
      </c>
      <c r="U370" s="79">
        <v>44168</v>
      </c>
    </row>
    <row r="371" spans="10:21" x14ac:dyDescent="0.25">
      <c r="J371" s="50">
        <v>43893</v>
      </c>
      <c r="K371" s="50">
        <v>43984</v>
      </c>
      <c r="U371" s="79">
        <v>44169</v>
      </c>
    </row>
    <row r="372" spans="10:21" x14ac:dyDescent="0.25">
      <c r="J372" s="50">
        <v>43894</v>
      </c>
      <c r="K372" s="50">
        <v>43985</v>
      </c>
      <c r="U372" s="79">
        <v>44170</v>
      </c>
    </row>
    <row r="373" spans="10:21" x14ac:dyDescent="0.25">
      <c r="J373" s="50">
        <v>43895</v>
      </c>
      <c r="K373" s="50">
        <v>43986</v>
      </c>
      <c r="U373" s="79">
        <v>44171</v>
      </c>
    </row>
    <row r="374" spans="10:21" x14ac:dyDescent="0.25">
      <c r="J374" s="50">
        <v>43896</v>
      </c>
      <c r="K374" s="50">
        <v>43987</v>
      </c>
      <c r="U374" s="79">
        <v>44172</v>
      </c>
    </row>
    <row r="375" spans="10:21" x14ac:dyDescent="0.25">
      <c r="J375" s="50">
        <v>43897</v>
      </c>
      <c r="K375" s="50">
        <v>43988</v>
      </c>
      <c r="U375" s="79">
        <v>44173</v>
      </c>
    </row>
    <row r="376" spans="10:21" x14ac:dyDescent="0.25">
      <c r="J376" s="50">
        <v>43898</v>
      </c>
      <c r="K376" s="50">
        <v>43989</v>
      </c>
      <c r="U376" s="79">
        <v>44174</v>
      </c>
    </row>
    <row r="377" spans="10:21" x14ac:dyDescent="0.25">
      <c r="J377" s="50">
        <v>43899</v>
      </c>
      <c r="K377" s="50">
        <v>43990</v>
      </c>
      <c r="U377" s="79">
        <v>44175</v>
      </c>
    </row>
    <row r="378" spans="10:21" x14ac:dyDescent="0.25">
      <c r="J378" s="50">
        <v>43900</v>
      </c>
      <c r="K378" s="50">
        <v>43991</v>
      </c>
      <c r="U378" s="79">
        <v>44176</v>
      </c>
    </row>
    <row r="379" spans="10:21" x14ac:dyDescent="0.25">
      <c r="J379" s="50">
        <v>43901</v>
      </c>
      <c r="K379" s="50">
        <v>43992</v>
      </c>
      <c r="U379" s="79">
        <v>44177</v>
      </c>
    </row>
    <row r="380" spans="10:21" x14ac:dyDescent="0.25">
      <c r="J380" s="50">
        <v>43902</v>
      </c>
      <c r="K380" s="50">
        <v>43993</v>
      </c>
      <c r="U380" s="79">
        <v>44178</v>
      </c>
    </row>
    <row r="381" spans="10:21" x14ac:dyDescent="0.25">
      <c r="J381" s="50">
        <v>43903</v>
      </c>
      <c r="K381" s="50">
        <v>43994</v>
      </c>
      <c r="U381" s="79">
        <v>44179</v>
      </c>
    </row>
    <row r="382" spans="10:21" x14ac:dyDescent="0.25">
      <c r="J382" s="50">
        <v>43904</v>
      </c>
      <c r="K382" s="50">
        <v>43995</v>
      </c>
      <c r="U382" s="79">
        <v>44180</v>
      </c>
    </row>
    <row r="383" spans="10:21" x14ac:dyDescent="0.25">
      <c r="J383" s="50">
        <v>43905</v>
      </c>
      <c r="K383" s="50">
        <v>43996</v>
      </c>
      <c r="U383" s="79">
        <v>44181</v>
      </c>
    </row>
    <row r="384" spans="10:21" x14ac:dyDescent="0.25">
      <c r="J384" s="50">
        <v>43906</v>
      </c>
      <c r="K384" s="50">
        <v>43997</v>
      </c>
      <c r="U384" s="79">
        <v>44182</v>
      </c>
    </row>
    <row r="385" spans="10:21" x14ac:dyDescent="0.25">
      <c r="J385" s="50">
        <v>43907</v>
      </c>
      <c r="K385" s="50">
        <v>43998</v>
      </c>
      <c r="U385" s="79">
        <v>44183</v>
      </c>
    </row>
    <row r="386" spans="10:21" x14ac:dyDescent="0.25">
      <c r="J386" s="50">
        <v>43908</v>
      </c>
      <c r="K386" s="50">
        <v>43999</v>
      </c>
      <c r="U386" s="79">
        <v>44184</v>
      </c>
    </row>
    <row r="387" spans="10:21" x14ac:dyDescent="0.25">
      <c r="J387" s="50">
        <v>43909</v>
      </c>
      <c r="K387" s="50">
        <v>44000</v>
      </c>
      <c r="U387" s="79">
        <v>44185</v>
      </c>
    </row>
    <row r="388" spans="10:21" x14ac:dyDescent="0.25">
      <c r="J388" s="50">
        <v>43910</v>
      </c>
      <c r="K388" s="50">
        <v>44001</v>
      </c>
      <c r="U388" s="79">
        <v>44186</v>
      </c>
    </row>
    <row r="389" spans="10:21" x14ac:dyDescent="0.25">
      <c r="J389" s="50">
        <v>43911</v>
      </c>
      <c r="K389" s="50">
        <v>44002</v>
      </c>
      <c r="U389" s="79">
        <v>44187</v>
      </c>
    </row>
    <row r="390" spans="10:21" x14ac:dyDescent="0.25">
      <c r="J390" s="50">
        <v>43912</v>
      </c>
      <c r="K390" s="50">
        <v>44003</v>
      </c>
      <c r="U390" s="79">
        <v>44188</v>
      </c>
    </row>
    <row r="391" spans="10:21" x14ac:dyDescent="0.25">
      <c r="J391" s="50">
        <v>43913</v>
      </c>
      <c r="K391" s="50">
        <v>44004</v>
      </c>
      <c r="U391" s="79">
        <v>44189</v>
      </c>
    </row>
    <row r="392" spans="10:21" x14ac:dyDescent="0.25">
      <c r="J392" s="50">
        <v>43914</v>
      </c>
      <c r="K392" s="50">
        <v>44005</v>
      </c>
      <c r="U392" s="79">
        <v>44190</v>
      </c>
    </row>
    <row r="393" spans="10:21" x14ac:dyDescent="0.25">
      <c r="J393" s="50">
        <v>43915</v>
      </c>
      <c r="K393" s="50">
        <v>44006</v>
      </c>
      <c r="U393" s="79">
        <v>44191</v>
      </c>
    </row>
    <row r="394" spans="10:21" x14ac:dyDescent="0.25">
      <c r="J394" s="50">
        <v>43916</v>
      </c>
      <c r="K394" s="50">
        <v>44007</v>
      </c>
      <c r="U394" s="79">
        <v>44192</v>
      </c>
    </row>
    <row r="395" spans="10:21" x14ac:dyDescent="0.25">
      <c r="J395" s="50">
        <v>43917</v>
      </c>
      <c r="K395" s="50">
        <v>44008</v>
      </c>
      <c r="U395" s="79">
        <v>44193</v>
      </c>
    </row>
    <row r="396" spans="10:21" x14ac:dyDescent="0.25">
      <c r="J396" s="50">
        <v>43918</v>
      </c>
      <c r="K396" s="50">
        <v>44009</v>
      </c>
      <c r="U396" s="79">
        <v>44194</v>
      </c>
    </row>
    <row r="397" spans="10:21" x14ac:dyDescent="0.25">
      <c r="J397" s="50">
        <v>43919</v>
      </c>
      <c r="K397" s="50">
        <v>44010</v>
      </c>
      <c r="U397" s="79">
        <v>44195</v>
      </c>
    </row>
    <row r="398" spans="10:21" x14ac:dyDescent="0.25">
      <c r="J398" s="50">
        <v>43920</v>
      </c>
      <c r="K398" s="50">
        <v>44011</v>
      </c>
      <c r="U398" s="79">
        <v>44196</v>
      </c>
    </row>
    <row r="399" spans="10:21" x14ac:dyDescent="0.25">
      <c r="J399" s="50">
        <v>43921</v>
      </c>
      <c r="K399" s="50">
        <v>44012</v>
      </c>
      <c r="U399" s="79">
        <v>44197</v>
      </c>
    </row>
    <row r="400" spans="10:21" x14ac:dyDescent="0.25">
      <c r="J400" s="50">
        <v>43922</v>
      </c>
      <c r="K400" s="50">
        <v>44013</v>
      </c>
      <c r="U400" s="79">
        <v>44198</v>
      </c>
    </row>
    <row r="401" spans="10:21" x14ac:dyDescent="0.25">
      <c r="J401" s="50">
        <v>43923</v>
      </c>
      <c r="K401" s="50">
        <v>44014</v>
      </c>
      <c r="U401" s="79">
        <v>44199</v>
      </c>
    </row>
    <row r="402" spans="10:21" x14ac:dyDescent="0.25">
      <c r="J402" s="50">
        <v>43924</v>
      </c>
      <c r="K402" s="50">
        <v>44015</v>
      </c>
      <c r="U402" s="79">
        <v>44200</v>
      </c>
    </row>
    <row r="403" spans="10:21" x14ac:dyDescent="0.25">
      <c r="J403" s="50">
        <v>43925</v>
      </c>
      <c r="K403" s="50">
        <v>44016</v>
      </c>
      <c r="U403" s="79">
        <v>44201</v>
      </c>
    </row>
    <row r="404" spans="10:21" x14ac:dyDescent="0.25">
      <c r="J404" s="50">
        <v>43926</v>
      </c>
      <c r="K404" s="50">
        <v>44017</v>
      </c>
      <c r="U404" s="79">
        <v>44202</v>
      </c>
    </row>
    <row r="405" spans="10:21" x14ac:dyDescent="0.25">
      <c r="J405" s="50">
        <v>43927</v>
      </c>
      <c r="K405" s="50">
        <v>44018</v>
      </c>
      <c r="U405" s="79">
        <v>44203</v>
      </c>
    </row>
    <row r="406" spans="10:21" x14ac:dyDescent="0.25">
      <c r="J406" s="50">
        <v>43928</v>
      </c>
      <c r="K406" s="50">
        <v>44019</v>
      </c>
      <c r="U406" s="79">
        <v>44204</v>
      </c>
    </row>
    <row r="407" spans="10:21" x14ac:dyDescent="0.25">
      <c r="J407" s="50">
        <v>43929</v>
      </c>
      <c r="K407" s="50">
        <v>44020</v>
      </c>
      <c r="U407" s="79">
        <v>44205</v>
      </c>
    </row>
    <row r="408" spans="10:21" x14ac:dyDescent="0.25">
      <c r="J408" s="50">
        <v>43930</v>
      </c>
      <c r="K408" s="50">
        <v>44021</v>
      </c>
      <c r="U408" s="79">
        <v>44206</v>
      </c>
    </row>
    <row r="409" spans="10:21" x14ac:dyDescent="0.25">
      <c r="J409" s="50">
        <v>43931</v>
      </c>
      <c r="K409" s="50">
        <v>44022</v>
      </c>
      <c r="U409" s="79">
        <v>44207</v>
      </c>
    </row>
    <row r="410" spans="10:21" x14ac:dyDescent="0.25">
      <c r="J410" s="50">
        <v>43932</v>
      </c>
      <c r="K410" s="50">
        <v>44023</v>
      </c>
      <c r="U410" s="79">
        <v>44208</v>
      </c>
    </row>
    <row r="411" spans="10:21" x14ac:dyDescent="0.25">
      <c r="J411" s="50">
        <v>43933</v>
      </c>
      <c r="K411" s="50">
        <v>44024</v>
      </c>
      <c r="U411" s="79">
        <v>44209</v>
      </c>
    </row>
    <row r="412" spans="10:21" x14ac:dyDescent="0.25">
      <c r="J412" s="50">
        <v>43934</v>
      </c>
      <c r="K412" s="50">
        <v>44025</v>
      </c>
      <c r="U412" s="79">
        <v>44210</v>
      </c>
    </row>
    <row r="413" spans="10:21" x14ac:dyDescent="0.25">
      <c r="J413" s="50">
        <v>43935</v>
      </c>
      <c r="K413" s="50">
        <v>44026</v>
      </c>
      <c r="U413" s="79">
        <v>44211</v>
      </c>
    </row>
    <row r="414" spans="10:21" x14ac:dyDescent="0.25">
      <c r="J414" s="50">
        <v>43936</v>
      </c>
      <c r="K414" s="50">
        <v>44027</v>
      </c>
      <c r="U414" s="79">
        <v>44212</v>
      </c>
    </row>
    <row r="415" spans="10:21" x14ac:dyDescent="0.25">
      <c r="J415" s="50">
        <v>43937</v>
      </c>
      <c r="K415" s="50">
        <v>44028</v>
      </c>
      <c r="U415" s="79">
        <v>44213</v>
      </c>
    </row>
    <row r="416" spans="10:21" x14ac:dyDescent="0.25">
      <c r="J416" s="50">
        <v>43938</v>
      </c>
      <c r="K416" s="50">
        <v>44029</v>
      </c>
      <c r="U416" s="79">
        <v>44214</v>
      </c>
    </row>
    <row r="417" spans="10:21" x14ac:dyDescent="0.25">
      <c r="J417" s="50">
        <v>43939</v>
      </c>
      <c r="K417" s="50">
        <v>44030</v>
      </c>
      <c r="U417" s="79">
        <v>44215</v>
      </c>
    </row>
    <row r="418" spans="10:21" x14ac:dyDescent="0.25">
      <c r="J418" s="50">
        <v>43940</v>
      </c>
      <c r="K418" s="50">
        <v>44031</v>
      </c>
      <c r="U418" s="79">
        <v>44216</v>
      </c>
    </row>
    <row r="419" spans="10:21" x14ac:dyDescent="0.25">
      <c r="J419" s="50">
        <v>43941</v>
      </c>
      <c r="K419" s="50">
        <v>44032</v>
      </c>
      <c r="U419" s="79">
        <v>44217</v>
      </c>
    </row>
    <row r="420" spans="10:21" x14ac:dyDescent="0.25">
      <c r="J420" s="50">
        <v>43942</v>
      </c>
      <c r="K420" s="50">
        <v>44033</v>
      </c>
      <c r="U420" s="79">
        <v>44218</v>
      </c>
    </row>
    <row r="421" spans="10:21" x14ac:dyDescent="0.25">
      <c r="J421" s="50">
        <v>43943</v>
      </c>
      <c r="K421" s="50">
        <v>44034</v>
      </c>
      <c r="U421" s="79">
        <v>44219</v>
      </c>
    </row>
    <row r="422" spans="10:21" x14ac:dyDescent="0.25">
      <c r="J422" s="50">
        <v>43944</v>
      </c>
      <c r="K422" s="50">
        <v>44035</v>
      </c>
      <c r="U422" s="79">
        <v>44220</v>
      </c>
    </row>
    <row r="423" spans="10:21" x14ac:dyDescent="0.25">
      <c r="J423" s="50">
        <v>43945</v>
      </c>
      <c r="K423" s="50">
        <v>44036</v>
      </c>
      <c r="U423" s="79">
        <v>44221</v>
      </c>
    </row>
    <row r="424" spans="10:21" x14ac:dyDescent="0.25">
      <c r="J424" s="50">
        <v>43946</v>
      </c>
      <c r="K424" s="50">
        <v>44037</v>
      </c>
      <c r="U424" s="79">
        <v>44222</v>
      </c>
    </row>
    <row r="425" spans="10:21" x14ac:dyDescent="0.25">
      <c r="J425" s="50">
        <v>43947</v>
      </c>
      <c r="K425" s="50">
        <v>44038</v>
      </c>
      <c r="U425" s="79">
        <v>44223</v>
      </c>
    </row>
    <row r="426" spans="10:21" x14ac:dyDescent="0.25">
      <c r="J426" s="50">
        <v>43948</v>
      </c>
      <c r="K426" s="50">
        <v>44039</v>
      </c>
      <c r="U426" s="79">
        <v>44224</v>
      </c>
    </row>
    <row r="427" spans="10:21" x14ac:dyDescent="0.25">
      <c r="J427" s="50">
        <v>43949</v>
      </c>
      <c r="K427" s="50">
        <v>44040</v>
      </c>
      <c r="U427" s="79">
        <v>44225</v>
      </c>
    </row>
    <row r="428" spans="10:21" x14ac:dyDescent="0.25">
      <c r="J428" s="50">
        <v>43950</v>
      </c>
      <c r="K428" s="50">
        <v>44041</v>
      </c>
      <c r="U428" s="79">
        <v>44226</v>
      </c>
    </row>
    <row r="429" spans="10:21" x14ac:dyDescent="0.25">
      <c r="J429" s="50">
        <v>43951</v>
      </c>
      <c r="K429" s="50">
        <v>44042</v>
      </c>
      <c r="U429" s="79">
        <v>44227</v>
      </c>
    </row>
    <row r="430" spans="10:21" x14ac:dyDescent="0.25">
      <c r="J430" s="50">
        <v>43952</v>
      </c>
      <c r="K430" s="50">
        <v>44043</v>
      </c>
      <c r="U430" s="79">
        <v>44228</v>
      </c>
    </row>
    <row r="431" spans="10:21" x14ac:dyDescent="0.25">
      <c r="J431" s="50">
        <v>43953</v>
      </c>
      <c r="K431" s="50">
        <v>44044</v>
      </c>
      <c r="U431" s="79">
        <v>44229</v>
      </c>
    </row>
    <row r="432" spans="10:21" x14ac:dyDescent="0.25">
      <c r="J432" s="50">
        <v>43954</v>
      </c>
      <c r="K432" s="50">
        <v>44045</v>
      </c>
      <c r="U432" s="79">
        <v>44230</v>
      </c>
    </row>
    <row r="433" spans="10:21" x14ac:dyDescent="0.25">
      <c r="J433" s="50">
        <v>43955</v>
      </c>
      <c r="K433" s="50">
        <v>44046</v>
      </c>
      <c r="U433" s="79">
        <v>44231</v>
      </c>
    </row>
    <row r="434" spans="10:21" x14ac:dyDescent="0.25">
      <c r="J434" s="50">
        <v>43956</v>
      </c>
      <c r="K434" s="50">
        <v>44047</v>
      </c>
      <c r="U434" s="79">
        <v>44232</v>
      </c>
    </row>
    <row r="435" spans="10:21" x14ac:dyDescent="0.25">
      <c r="J435" s="50">
        <v>43957</v>
      </c>
      <c r="K435" s="50">
        <v>44048</v>
      </c>
      <c r="U435" s="79">
        <v>44233</v>
      </c>
    </row>
    <row r="436" spans="10:21" x14ac:dyDescent="0.25">
      <c r="J436" s="50">
        <v>43958</v>
      </c>
      <c r="K436" s="50">
        <v>44049</v>
      </c>
      <c r="U436" s="79">
        <v>44234</v>
      </c>
    </row>
    <row r="437" spans="10:21" x14ac:dyDescent="0.25">
      <c r="J437" s="50">
        <v>43959</v>
      </c>
      <c r="K437" s="50">
        <v>44050</v>
      </c>
      <c r="U437" s="79">
        <v>44235</v>
      </c>
    </row>
    <row r="438" spans="10:21" x14ac:dyDescent="0.25">
      <c r="J438" s="50">
        <v>43960</v>
      </c>
      <c r="K438" s="50">
        <v>44051</v>
      </c>
      <c r="U438" s="79">
        <v>44236</v>
      </c>
    </row>
    <row r="439" spans="10:21" x14ac:dyDescent="0.25">
      <c r="J439" s="50">
        <v>43961</v>
      </c>
      <c r="K439" s="50">
        <v>44052</v>
      </c>
      <c r="U439" s="79">
        <v>44237</v>
      </c>
    </row>
    <row r="440" spans="10:21" x14ac:dyDescent="0.25">
      <c r="J440" s="50">
        <v>43962</v>
      </c>
      <c r="K440" s="50">
        <v>44053</v>
      </c>
      <c r="U440" s="79">
        <v>44238</v>
      </c>
    </row>
    <row r="441" spans="10:21" x14ac:dyDescent="0.25">
      <c r="J441" s="50">
        <v>43963</v>
      </c>
      <c r="K441" s="50">
        <v>44054</v>
      </c>
      <c r="U441" s="79">
        <v>44239</v>
      </c>
    </row>
    <row r="442" spans="10:21" x14ac:dyDescent="0.25">
      <c r="J442" s="50">
        <v>43964</v>
      </c>
      <c r="K442" s="50">
        <v>44055</v>
      </c>
      <c r="U442" s="79">
        <v>44240</v>
      </c>
    </row>
    <row r="443" spans="10:21" x14ac:dyDescent="0.25">
      <c r="J443" s="50">
        <v>43965</v>
      </c>
      <c r="K443" s="50">
        <v>44056</v>
      </c>
      <c r="U443" s="79">
        <v>44241</v>
      </c>
    </row>
    <row r="444" spans="10:21" x14ac:dyDescent="0.25">
      <c r="J444" s="50">
        <v>43966</v>
      </c>
      <c r="K444" s="50">
        <v>44057</v>
      </c>
      <c r="U444" s="79">
        <v>44242</v>
      </c>
    </row>
    <row r="445" spans="10:21" x14ac:dyDescent="0.25">
      <c r="J445" s="50">
        <v>43967</v>
      </c>
      <c r="K445" s="50">
        <v>44058</v>
      </c>
      <c r="U445" s="79">
        <v>44243</v>
      </c>
    </row>
    <row r="446" spans="10:21" x14ac:dyDescent="0.25">
      <c r="J446" s="50">
        <v>43968</v>
      </c>
      <c r="K446" s="50">
        <v>44059</v>
      </c>
      <c r="U446" s="79">
        <v>44244</v>
      </c>
    </row>
    <row r="447" spans="10:21" x14ac:dyDescent="0.25">
      <c r="J447" s="50">
        <v>43969</v>
      </c>
      <c r="K447" s="50">
        <v>44060</v>
      </c>
      <c r="U447" s="79">
        <v>44245</v>
      </c>
    </row>
    <row r="448" spans="10:21" x14ac:dyDescent="0.25">
      <c r="J448" s="50">
        <v>43970</v>
      </c>
      <c r="K448" s="50">
        <v>44061</v>
      </c>
      <c r="U448" s="79">
        <v>44246</v>
      </c>
    </row>
    <row r="449" spans="10:21" x14ac:dyDescent="0.25">
      <c r="J449" s="50">
        <v>43971</v>
      </c>
      <c r="K449" s="50">
        <v>44062</v>
      </c>
      <c r="U449" s="79">
        <v>44247</v>
      </c>
    </row>
    <row r="450" spans="10:21" x14ac:dyDescent="0.25">
      <c r="J450" s="50">
        <v>43972</v>
      </c>
      <c r="K450" s="50">
        <v>44063</v>
      </c>
      <c r="U450" s="79">
        <v>44248</v>
      </c>
    </row>
    <row r="451" spans="10:21" x14ac:dyDescent="0.25">
      <c r="J451" s="50">
        <v>43973</v>
      </c>
      <c r="K451" s="50">
        <v>44064</v>
      </c>
      <c r="U451" s="79">
        <v>44249</v>
      </c>
    </row>
    <row r="452" spans="10:21" x14ac:dyDescent="0.25">
      <c r="J452" s="50">
        <v>43974</v>
      </c>
      <c r="K452" s="50">
        <v>44065</v>
      </c>
      <c r="U452" s="79">
        <v>44250</v>
      </c>
    </row>
    <row r="453" spans="10:21" x14ac:dyDescent="0.25">
      <c r="J453" s="50">
        <v>43975</v>
      </c>
      <c r="K453" s="50">
        <v>44066</v>
      </c>
      <c r="U453" s="79">
        <v>44251</v>
      </c>
    </row>
    <row r="454" spans="10:21" x14ac:dyDescent="0.25">
      <c r="J454" s="50">
        <v>43976</v>
      </c>
      <c r="K454" s="50">
        <v>44067</v>
      </c>
      <c r="U454" s="79">
        <v>44252</v>
      </c>
    </row>
    <row r="455" spans="10:21" x14ac:dyDescent="0.25">
      <c r="J455" s="50">
        <v>43977</v>
      </c>
      <c r="K455" s="50">
        <v>44068</v>
      </c>
      <c r="U455" s="79">
        <v>44253</v>
      </c>
    </row>
    <row r="456" spans="10:21" x14ac:dyDescent="0.25">
      <c r="J456" s="50">
        <v>43978</v>
      </c>
      <c r="K456" s="50">
        <v>44069</v>
      </c>
      <c r="U456" s="79">
        <v>44254</v>
      </c>
    </row>
    <row r="457" spans="10:21" x14ac:dyDescent="0.25">
      <c r="J457" s="50">
        <v>43979</v>
      </c>
      <c r="K457" s="50">
        <v>44070</v>
      </c>
      <c r="U457" s="79">
        <v>44255</v>
      </c>
    </row>
    <row r="458" spans="10:21" x14ac:dyDescent="0.25">
      <c r="J458" s="50">
        <v>43980</v>
      </c>
      <c r="K458" s="50">
        <v>44071</v>
      </c>
      <c r="U458" s="79">
        <v>44256</v>
      </c>
    </row>
    <row r="459" spans="10:21" x14ac:dyDescent="0.25">
      <c r="J459" s="50">
        <v>43981</v>
      </c>
      <c r="K459" s="50">
        <v>44072</v>
      </c>
      <c r="U459" s="79">
        <v>44257</v>
      </c>
    </row>
    <row r="460" spans="10:21" x14ac:dyDescent="0.25">
      <c r="J460" s="50">
        <v>43982</v>
      </c>
      <c r="K460" s="50">
        <v>44073</v>
      </c>
      <c r="U460" s="79">
        <v>44258</v>
      </c>
    </row>
    <row r="461" spans="10:21" x14ac:dyDescent="0.25">
      <c r="J461" s="50">
        <v>43983</v>
      </c>
      <c r="K461" s="50">
        <v>44074</v>
      </c>
      <c r="U461" s="79">
        <v>44259</v>
      </c>
    </row>
    <row r="462" spans="10:21" x14ac:dyDescent="0.25">
      <c r="J462" s="50">
        <v>43984</v>
      </c>
      <c r="K462" s="50">
        <v>44075</v>
      </c>
      <c r="U462" s="79">
        <v>44260</v>
      </c>
    </row>
    <row r="463" spans="10:21" x14ac:dyDescent="0.25">
      <c r="J463" s="50">
        <v>43985</v>
      </c>
      <c r="K463" s="50">
        <v>44076</v>
      </c>
      <c r="U463" s="79">
        <v>44261</v>
      </c>
    </row>
    <row r="464" spans="10:21" x14ac:dyDescent="0.25">
      <c r="J464" s="50">
        <v>43986</v>
      </c>
      <c r="K464" s="50">
        <v>44077</v>
      </c>
      <c r="U464" s="79">
        <v>44262</v>
      </c>
    </row>
    <row r="465" spans="10:21" x14ac:dyDescent="0.25">
      <c r="J465" s="50">
        <v>43987</v>
      </c>
      <c r="K465" s="50">
        <v>44078</v>
      </c>
      <c r="U465" s="79">
        <v>44263</v>
      </c>
    </row>
    <row r="466" spans="10:21" x14ac:dyDescent="0.25">
      <c r="J466" s="50">
        <v>43988</v>
      </c>
      <c r="K466" s="50">
        <v>44079</v>
      </c>
      <c r="U466" s="79">
        <v>44264</v>
      </c>
    </row>
    <row r="467" spans="10:21" x14ac:dyDescent="0.25">
      <c r="J467" s="50">
        <v>43989</v>
      </c>
      <c r="K467" s="50">
        <v>44080</v>
      </c>
      <c r="U467" s="79">
        <v>44265</v>
      </c>
    </row>
    <row r="468" spans="10:21" x14ac:dyDescent="0.25">
      <c r="J468" s="50">
        <v>43990</v>
      </c>
      <c r="K468" s="50">
        <v>44081</v>
      </c>
      <c r="U468" s="79">
        <v>44266</v>
      </c>
    </row>
    <row r="469" spans="10:21" x14ac:dyDescent="0.25">
      <c r="J469" s="50">
        <v>43991</v>
      </c>
      <c r="K469" s="50">
        <v>44082</v>
      </c>
      <c r="U469" s="79">
        <v>44267</v>
      </c>
    </row>
    <row r="470" spans="10:21" x14ac:dyDescent="0.25">
      <c r="J470" s="50">
        <v>43992</v>
      </c>
      <c r="K470" s="50">
        <v>44083</v>
      </c>
      <c r="U470" s="79">
        <v>44268</v>
      </c>
    </row>
    <row r="471" spans="10:21" x14ac:dyDescent="0.25">
      <c r="J471" s="50">
        <v>43993</v>
      </c>
      <c r="K471" s="50">
        <v>44084</v>
      </c>
      <c r="U471" s="79">
        <v>44269</v>
      </c>
    </row>
    <row r="472" spans="10:21" x14ac:dyDescent="0.25">
      <c r="J472" s="50">
        <v>43994</v>
      </c>
      <c r="K472" s="50">
        <v>44085</v>
      </c>
      <c r="U472" s="79">
        <v>44270</v>
      </c>
    </row>
    <row r="473" spans="10:21" x14ac:dyDescent="0.25">
      <c r="J473" s="50">
        <v>43995</v>
      </c>
      <c r="K473" s="50">
        <v>44086</v>
      </c>
      <c r="U473" s="79">
        <v>44271</v>
      </c>
    </row>
    <row r="474" spans="10:21" x14ac:dyDescent="0.25">
      <c r="J474" s="50">
        <v>43996</v>
      </c>
      <c r="K474" s="50">
        <v>44087</v>
      </c>
      <c r="U474" s="79">
        <v>44272</v>
      </c>
    </row>
    <row r="475" spans="10:21" x14ac:dyDescent="0.25">
      <c r="J475" s="50">
        <v>43997</v>
      </c>
      <c r="K475" s="50">
        <v>44088</v>
      </c>
      <c r="U475" s="79">
        <v>44273</v>
      </c>
    </row>
    <row r="476" spans="10:21" x14ac:dyDescent="0.25">
      <c r="J476" s="50">
        <v>43998</v>
      </c>
      <c r="K476" s="50">
        <v>44089</v>
      </c>
      <c r="U476" s="79">
        <v>44274</v>
      </c>
    </row>
    <row r="477" spans="10:21" x14ac:dyDescent="0.25">
      <c r="J477" s="50">
        <v>43999</v>
      </c>
      <c r="K477" s="50">
        <v>44090</v>
      </c>
      <c r="U477" s="79">
        <v>44275</v>
      </c>
    </row>
    <row r="478" spans="10:21" x14ac:dyDescent="0.25">
      <c r="J478" s="50">
        <v>44000</v>
      </c>
      <c r="K478" s="50">
        <v>44091</v>
      </c>
      <c r="U478" s="79">
        <v>44276</v>
      </c>
    </row>
    <row r="479" spans="10:21" x14ac:dyDescent="0.25">
      <c r="J479" s="50">
        <v>44001</v>
      </c>
      <c r="K479" s="50">
        <v>44092</v>
      </c>
      <c r="U479" s="79">
        <v>44277</v>
      </c>
    </row>
    <row r="480" spans="10:21" x14ac:dyDescent="0.25">
      <c r="J480" s="50">
        <v>44002</v>
      </c>
      <c r="K480" s="50">
        <v>44093</v>
      </c>
      <c r="U480" s="79">
        <v>44278</v>
      </c>
    </row>
    <row r="481" spans="10:21" x14ac:dyDescent="0.25">
      <c r="J481" s="50">
        <v>44003</v>
      </c>
      <c r="K481" s="50">
        <v>44094</v>
      </c>
      <c r="U481" s="79">
        <v>44279</v>
      </c>
    </row>
    <row r="482" spans="10:21" x14ac:dyDescent="0.25">
      <c r="J482" s="50">
        <v>44004</v>
      </c>
      <c r="K482" s="50">
        <v>44095</v>
      </c>
      <c r="U482" s="79">
        <v>44280</v>
      </c>
    </row>
    <row r="483" spans="10:21" x14ac:dyDescent="0.25">
      <c r="J483" s="50">
        <v>44005</v>
      </c>
      <c r="K483" s="50">
        <v>44096</v>
      </c>
      <c r="U483" s="79">
        <v>44281</v>
      </c>
    </row>
    <row r="484" spans="10:21" x14ac:dyDescent="0.25">
      <c r="J484" s="50">
        <v>44006</v>
      </c>
      <c r="K484" s="50">
        <v>44097</v>
      </c>
      <c r="U484" s="79">
        <v>44282</v>
      </c>
    </row>
    <row r="485" spans="10:21" x14ac:dyDescent="0.25">
      <c r="J485" s="50">
        <v>44007</v>
      </c>
      <c r="K485" s="50">
        <v>44098</v>
      </c>
      <c r="U485" s="79">
        <v>44283</v>
      </c>
    </row>
    <row r="486" spans="10:21" x14ac:dyDescent="0.25">
      <c r="J486" s="50">
        <v>44008</v>
      </c>
      <c r="K486" s="50">
        <v>44099</v>
      </c>
      <c r="U486" s="79">
        <v>44284</v>
      </c>
    </row>
    <row r="487" spans="10:21" x14ac:dyDescent="0.25">
      <c r="J487" s="50">
        <v>44009</v>
      </c>
      <c r="K487" s="50">
        <v>44100</v>
      </c>
      <c r="U487" s="79">
        <v>44285</v>
      </c>
    </row>
    <row r="488" spans="10:21" x14ac:dyDescent="0.25">
      <c r="J488" s="50">
        <v>44010</v>
      </c>
      <c r="K488" s="50">
        <v>44101</v>
      </c>
      <c r="U488" s="79">
        <v>44286</v>
      </c>
    </row>
    <row r="489" spans="10:21" x14ac:dyDescent="0.25">
      <c r="J489" s="50">
        <v>44011</v>
      </c>
      <c r="K489" s="50">
        <v>44102</v>
      </c>
      <c r="U489" s="79">
        <v>44287</v>
      </c>
    </row>
    <row r="490" spans="10:21" x14ac:dyDescent="0.25">
      <c r="J490" s="50">
        <v>44012</v>
      </c>
      <c r="K490" s="50">
        <v>44103</v>
      </c>
      <c r="U490" s="79">
        <v>44288</v>
      </c>
    </row>
    <row r="491" spans="10:21" x14ac:dyDescent="0.25">
      <c r="J491" s="50">
        <v>44013</v>
      </c>
      <c r="K491" s="50">
        <v>44104</v>
      </c>
      <c r="U491" s="79">
        <v>44289</v>
      </c>
    </row>
    <row r="492" spans="10:21" x14ac:dyDescent="0.25">
      <c r="J492" s="50">
        <v>44014</v>
      </c>
      <c r="K492" s="50">
        <v>44105</v>
      </c>
      <c r="U492" s="79">
        <v>44290</v>
      </c>
    </row>
    <row r="493" spans="10:21" x14ac:dyDescent="0.25">
      <c r="J493" s="50">
        <v>44015</v>
      </c>
      <c r="K493" s="50">
        <v>44106</v>
      </c>
      <c r="U493" s="79">
        <v>44291</v>
      </c>
    </row>
    <row r="494" spans="10:21" x14ac:dyDescent="0.25">
      <c r="J494" s="50">
        <v>44016</v>
      </c>
      <c r="K494" s="50">
        <v>44107</v>
      </c>
      <c r="U494" s="79">
        <v>44292</v>
      </c>
    </row>
    <row r="495" spans="10:21" x14ac:dyDescent="0.25">
      <c r="J495" s="50">
        <v>44017</v>
      </c>
      <c r="K495" s="50">
        <v>44108</v>
      </c>
      <c r="U495" s="79">
        <v>44293</v>
      </c>
    </row>
    <row r="496" spans="10:21" x14ac:dyDescent="0.25">
      <c r="J496" s="50">
        <v>44018</v>
      </c>
      <c r="K496" s="50">
        <v>44109</v>
      </c>
      <c r="U496" s="79">
        <v>44294</v>
      </c>
    </row>
    <row r="497" spans="10:21" x14ac:dyDescent="0.25">
      <c r="J497" s="50">
        <v>44019</v>
      </c>
      <c r="K497" s="50">
        <v>44110</v>
      </c>
      <c r="U497" s="79">
        <v>44295</v>
      </c>
    </row>
    <row r="498" spans="10:21" x14ac:dyDescent="0.25">
      <c r="J498" s="50">
        <v>44020</v>
      </c>
      <c r="K498" s="50">
        <v>44111</v>
      </c>
      <c r="U498" s="79">
        <v>44296</v>
      </c>
    </row>
    <row r="499" spans="10:21" x14ac:dyDescent="0.25">
      <c r="J499" s="50">
        <v>44021</v>
      </c>
      <c r="K499" s="50">
        <v>44112</v>
      </c>
      <c r="U499" s="79">
        <v>44297</v>
      </c>
    </row>
    <row r="500" spans="10:21" x14ac:dyDescent="0.25">
      <c r="J500" s="50">
        <v>44022</v>
      </c>
      <c r="K500" s="50">
        <v>44113</v>
      </c>
      <c r="U500" s="79">
        <v>44298</v>
      </c>
    </row>
    <row r="501" spans="10:21" x14ac:dyDescent="0.25">
      <c r="J501" s="50">
        <v>44023</v>
      </c>
      <c r="K501" s="50">
        <v>44114</v>
      </c>
      <c r="U501" s="79">
        <v>44299</v>
      </c>
    </row>
    <row r="502" spans="10:21" x14ac:dyDescent="0.25">
      <c r="J502" s="50">
        <v>44024</v>
      </c>
      <c r="K502" s="50">
        <v>44115</v>
      </c>
      <c r="U502" s="79">
        <v>44300</v>
      </c>
    </row>
    <row r="503" spans="10:21" x14ac:dyDescent="0.25">
      <c r="J503" s="50">
        <v>44025</v>
      </c>
      <c r="K503" s="50">
        <v>44116</v>
      </c>
      <c r="U503" s="79">
        <v>44301</v>
      </c>
    </row>
    <row r="504" spans="10:21" x14ac:dyDescent="0.25">
      <c r="J504" s="50">
        <v>44026</v>
      </c>
      <c r="K504" s="50">
        <v>44117</v>
      </c>
      <c r="U504" s="79">
        <v>44302</v>
      </c>
    </row>
    <row r="505" spans="10:21" x14ac:dyDescent="0.25">
      <c r="J505" s="50">
        <v>44027</v>
      </c>
      <c r="K505" s="50">
        <v>44118</v>
      </c>
      <c r="U505" s="79">
        <v>44303</v>
      </c>
    </row>
    <row r="506" spans="10:21" x14ac:dyDescent="0.25">
      <c r="J506" s="50">
        <v>44028</v>
      </c>
      <c r="K506" s="50">
        <v>44119</v>
      </c>
      <c r="U506" s="79">
        <v>44304</v>
      </c>
    </row>
    <row r="507" spans="10:21" x14ac:dyDescent="0.25">
      <c r="J507" s="50">
        <v>44029</v>
      </c>
      <c r="K507" s="50">
        <v>44120</v>
      </c>
      <c r="U507" s="79">
        <v>44305</v>
      </c>
    </row>
    <row r="508" spans="10:21" x14ac:dyDescent="0.25">
      <c r="J508" s="50">
        <v>44030</v>
      </c>
      <c r="K508" s="50">
        <v>44121</v>
      </c>
      <c r="U508" s="79">
        <v>44306</v>
      </c>
    </row>
    <row r="509" spans="10:21" x14ac:dyDescent="0.25">
      <c r="J509" s="50">
        <v>44031</v>
      </c>
      <c r="K509" s="50">
        <v>44122</v>
      </c>
      <c r="U509" s="79">
        <v>44307</v>
      </c>
    </row>
    <row r="510" spans="10:21" x14ac:dyDescent="0.25">
      <c r="J510" s="50">
        <v>44032</v>
      </c>
      <c r="K510" s="50">
        <v>44123</v>
      </c>
      <c r="U510" s="79">
        <v>44308</v>
      </c>
    </row>
    <row r="511" spans="10:21" x14ac:dyDescent="0.25">
      <c r="J511" s="50">
        <v>44033</v>
      </c>
      <c r="K511" s="50">
        <v>44124</v>
      </c>
      <c r="U511" s="79">
        <v>44309</v>
      </c>
    </row>
    <row r="512" spans="10:21" x14ac:dyDescent="0.25">
      <c r="J512" s="50">
        <v>44034</v>
      </c>
      <c r="K512" s="50">
        <v>44125</v>
      </c>
      <c r="U512" s="79">
        <v>44310</v>
      </c>
    </row>
    <row r="513" spans="10:21" x14ac:dyDescent="0.25">
      <c r="J513" s="50">
        <v>44035</v>
      </c>
      <c r="K513" s="50">
        <v>44126</v>
      </c>
      <c r="U513" s="79">
        <v>44311</v>
      </c>
    </row>
    <row r="514" spans="10:21" x14ac:dyDescent="0.25">
      <c r="J514" s="50">
        <v>44036</v>
      </c>
      <c r="K514" s="50">
        <v>44127</v>
      </c>
      <c r="U514" s="79">
        <v>44312</v>
      </c>
    </row>
    <row r="515" spans="10:21" x14ac:dyDescent="0.25">
      <c r="J515" s="50">
        <v>44037</v>
      </c>
      <c r="K515" s="50">
        <v>44128</v>
      </c>
      <c r="U515" s="79">
        <v>44313</v>
      </c>
    </row>
    <row r="516" spans="10:21" x14ac:dyDescent="0.25">
      <c r="J516" s="50">
        <v>44038</v>
      </c>
      <c r="K516" s="50">
        <v>44129</v>
      </c>
      <c r="U516" s="79">
        <v>44314</v>
      </c>
    </row>
    <row r="517" spans="10:21" x14ac:dyDescent="0.25">
      <c r="J517" s="50">
        <v>44039</v>
      </c>
      <c r="K517" s="50">
        <v>44130</v>
      </c>
      <c r="U517" s="79">
        <v>44315</v>
      </c>
    </row>
    <row r="518" spans="10:21" x14ac:dyDescent="0.25">
      <c r="J518" s="50">
        <v>44040</v>
      </c>
      <c r="K518" s="50">
        <v>44131</v>
      </c>
      <c r="U518" s="79">
        <v>44316</v>
      </c>
    </row>
    <row r="519" spans="10:21" x14ac:dyDescent="0.25">
      <c r="J519" s="50">
        <v>44041</v>
      </c>
      <c r="K519" s="50">
        <v>44132</v>
      </c>
      <c r="U519" s="79">
        <v>44317</v>
      </c>
    </row>
    <row r="520" spans="10:21" x14ac:dyDescent="0.25">
      <c r="J520" s="50">
        <v>44042</v>
      </c>
      <c r="K520" s="50">
        <v>44133</v>
      </c>
      <c r="U520" s="79">
        <v>44318</v>
      </c>
    </row>
    <row r="521" spans="10:21" x14ac:dyDescent="0.25">
      <c r="J521" s="50">
        <v>44043</v>
      </c>
      <c r="K521" s="50">
        <v>44134</v>
      </c>
      <c r="U521" s="79">
        <v>44319</v>
      </c>
    </row>
    <row r="522" spans="10:21" x14ac:dyDescent="0.25">
      <c r="J522" s="50">
        <v>44044</v>
      </c>
      <c r="K522" s="50">
        <v>44135</v>
      </c>
      <c r="U522" s="79">
        <v>44320</v>
      </c>
    </row>
    <row r="523" spans="10:21" x14ac:dyDescent="0.25">
      <c r="J523" s="50">
        <v>44045</v>
      </c>
      <c r="K523" s="50">
        <v>44136</v>
      </c>
      <c r="U523" s="79">
        <v>44321</v>
      </c>
    </row>
    <row r="524" spans="10:21" x14ac:dyDescent="0.25">
      <c r="J524" s="50">
        <v>44046</v>
      </c>
      <c r="K524" s="50">
        <v>44137</v>
      </c>
      <c r="U524" s="79">
        <v>44322</v>
      </c>
    </row>
    <row r="525" spans="10:21" x14ac:dyDescent="0.25">
      <c r="J525" s="50">
        <v>44047</v>
      </c>
      <c r="K525" s="50">
        <v>44138</v>
      </c>
      <c r="U525" s="79">
        <v>44323</v>
      </c>
    </row>
    <row r="526" spans="10:21" x14ac:dyDescent="0.25">
      <c r="J526" s="50">
        <v>44048</v>
      </c>
      <c r="K526" s="50">
        <v>44139</v>
      </c>
      <c r="U526" s="79">
        <v>44324</v>
      </c>
    </row>
    <row r="527" spans="10:21" x14ac:dyDescent="0.25">
      <c r="J527" s="50">
        <v>44049</v>
      </c>
      <c r="K527" s="50">
        <v>44140</v>
      </c>
      <c r="U527" s="79">
        <v>44325</v>
      </c>
    </row>
    <row r="528" spans="10:21" x14ac:dyDescent="0.25">
      <c r="J528" s="50">
        <v>44050</v>
      </c>
      <c r="K528" s="50">
        <v>44141</v>
      </c>
      <c r="U528" s="79">
        <v>44326</v>
      </c>
    </row>
    <row r="529" spans="10:21" x14ac:dyDescent="0.25">
      <c r="J529" s="50">
        <v>44051</v>
      </c>
      <c r="K529" s="50">
        <v>44142</v>
      </c>
      <c r="U529" s="79">
        <v>44327</v>
      </c>
    </row>
    <row r="530" spans="10:21" x14ac:dyDescent="0.25">
      <c r="J530" s="50">
        <v>44052</v>
      </c>
      <c r="K530" s="50">
        <v>44143</v>
      </c>
      <c r="U530" s="79">
        <v>44328</v>
      </c>
    </row>
    <row r="531" spans="10:21" x14ac:dyDescent="0.25">
      <c r="J531" s="50">
        <v>44053</v>
      </c>
      <c r="K531" s="50">
        <v>44144</v>
      </c>
      <c r="U531" s="79">
        <v>44329</v>
      </c>
    </row>
    <row r="532" spans="10:21" x14ac:dyDescent="0.25">
      <c r="J532" s="50">
        <v>44054</v>
      </c>
      <c r="K532" s="50">
        <v>44145</v>
      </c>
      <c r="U532" s="79">
        <v>44330</v>
      </c>
    </row>
    <row r="533" spans="10:21" x14ac:dyDescent="0.25">
      <c r="J533" s="50">
        <v>44055</v>
      </c>
      <c r="K533" s="50">
        <v>44146</v>
      </c>
      <c r="U533" s="79">
        <v>44331</v>
      </c>
    </row>
    <row r="534" spans="10:21" x14ac:dyDescent="0.25">
      <c r="J534" s="50">
        <v>44056</v>
      </c>
      <c r="K534" s="50">
        <v>44147</v>
      </c>
      <c r="U534" s="79">
        <v>44332</v>
      </c>
    </row>
    <row r="535" spans="10:21" x14ac:dyDescent="0.25">
      <c r="J535" s="50">
        <v>44057</v>
      </c>
      <c r="K535" s="50">
        <v>44148</v>
      </c>
      <c r="U535" s="79">
        <v>44333</v>
      </c>
    </row>
    <row r="536" spans="10:21" x14ac:dyDescent="0.25">
      <c r="J536" s="50">
        <v>44058</v>
      </c>
      <c r="K536" s="50">
        <v>44149</v>
      </c>
      <c r="U536" s="79">
        <v>44334</v>
      </c>
    </row>
    <row r="537" spans="10:21" x14ac:dyDescent="0.25">
      <c r="J537" s="50">
        <v>44059</v>
      </c>
      <c r="K537" s="50">
        <v>44150</v>
      </c>
      <c r="U537" s="79">
        <v>44335</v>
      </c>
    </row>
    <row r="538" spans="10:21" x14ac:dyDescent="0.25">
      <c r="J538" s="50">
        <v>44060</v>
      </c>
      <c r="K538" s="50">
        <v>44151</v>
      </c>
      <c r="U538" s="79">
        <v>44336</v>
      </c>
    </row>
    <row r="539" spans="10:21" x14ac:dyDescent="0.25">
      <c r="J539" s="50">
        <v>44061</v>
      </c>
      <c r="K539" s="50">
        <v>44152</v>
      </c>
      <c r="U539" s="79">
        <v>44337</v>
      </c>
    </row>
    <row r="540" spans="10:21" x14ac:dyDescent="0.25">
      <c r="J540" s="50">
        <v>44062</v>
      </c>
      <c r="K540" s="50">
        <v>44153</v>
      </c>
      <c r="U540" s="79">
        <v>44338</v>
      </c>
    </row>
    <row r="541" spans="10:21" x14ac:dyDescent="0.25">
      <c r="J541" s="50">
        <v>44063</v>
      </c>
      <c r="K541" s="50">
        <v>44154</v>
      </c>
      <c r="U541" s="79">
        <v>44339</v>
      </c>
    </row>
    <row r="542" spans="10:21" x14ac:dyDescent="0.25">
      <c r="J542" s="50">
        <v>44064</v>
      </c>
      <c r="K542" s="50">
        <v>44155</v>
      </c>
      <c r="U542" s="79">
        <v>44340</v>
      </c>
    </row>
    <row r="543" spans="10:21" x14ac:dyDescent="0.25">
      <c r="J543" s="50">
        <v>44065</v>
      </c>
      <c r="K543" s="50">
        <v>44156</v>
      </c>
      <c r="U543" s="79">
        <v>44341</v>
      </c>
    </row>
    <row r="544" spans="10:21" x14ac:dyDescent="0.25">
      <c r="J544" s="50">
        <v>44066</v>
      </c>
      <c r="K544" s="50">
        <v>44157</v>
      </c>
      <c r="U544" s="79">
        <v>44342</v>
      </c>
    </row>
    <row r="545" spans="10:21" x14ac:dyDescent="0.25">
      <c r="J545" s="50">
        <v>44067</v>
      </c>
      <c r="K545" s="50">
        <v>44158</v>
      </c>
      <c r="U545" s="79">
        <v>44343</v>
      </c>
    </row>
    <row r="546" spans="10:21" x14ac:dyDescent="0.25">
      <c r="J546" s="50">
        <v>44068</v>
      </c>
      <c r="K546" s="50">
        <v>44159</v>
      </c>
      <c r="U546" s="79">
        <v>44344</v>
      </c>
    </row>
    <row r="547" spans="10:21" x14ac:dyDescent="0.25">
      <c r="J547" s="50">
        <v>44069</v>
      </c>
      <c r="K547" s="50">
        <v>44160</v>
      </c>
      <c r="U547" s="79">
        <v>44345</v>
      </c>
    </row>
    <row r="548" spans="10:21" x14ac:dyDescent="0.25">
      <c r="J548" s="50">
        <v>44070</v>
      </c>
      <c r="K548" s="50">
        <v>44161</v>
      </c>
      <c r="U548" s="79">
        <v>44346</v>
      </c>
    </row>
    <row r="549" spans="10:21" x14ac:dyDescent="0.25">
      <c r="J549" s="50">
        <v>44071</v>
      </c>
      <c r="K549" s="50">
        <v>44162</v>
      </c>
      <c r="U549" s="79">
        <v>44347</v>
      </c>
    </row>
    <row r="550" spans="10:21" x14ac:dyDescent="0.25">
      <c r="J550" s="50">
        <v>44072</v>
      </c>
      <c r="K550" s="50">
        <v>44163</v>
      </c>
      <c r="U550" s="79">
        <v>44348</v>
      </c>
    </row>
    <row r="551" spans="10:21" x14ac:dyDescent="0.25">
      <c r="J551" s="50">
        <v>44073</v>
      </c>
      <c r="K551" s="50">
        <v>44164</v>
      </c>
      <c r="U551" s="79">
        <v>44349</v>
      </c>
    </row>
    <row r="552" spans="10:21" x14ac:dyDescent="0.25">
      <c r="J552" s="50">
        <v>44074</v>
      </c>
      <c r="K552" s="50">
        <v>44165</v>
      </c>
      <c r="U552" s="79">
        <v>44350</v>
      </c>
    </row>
    <row r="553" spans="10:21" x14ac:dyDescent="0.25">
      <c r="J553" s="50">
        <v>44075</v>
      </c>
      <c r="K553" s="50">
        <v>44166</v>
      </c>
      <c r="U553" s="79">
        <v>44351</v>
      </c>
    </row>
    <row r="554" spans="10:21" x14ac:dyDescent="0.25">
      <c r="J554" s="50"/>
      <c r="K554" s="50">
        <v>44167</v>
      </c>
      <c r="U554" s="79">
        <v>44352</v>
      </c>
    </row>
    <row r="555" spans="10:21" x14ac:dyDescent="0.25">
      <c r="J555" s="50"/>
      <c r="K555" s="50">
        <v>44168</v>
      </c>
      <c r="U555" s="79">
        <v>44353</v>
      </c>
    </row>
    <row r="556" spans="10:21" x14ac:dyDescent="0.25">
      <c r="J556" s="50"/>
      <c r="K556" s="50">
        <v>44169</v>
      </c>
      <c r="U556" s="79">
        <v>44354</v>
      </c>
    </row>
    <row r="557" spans="10:21" x14ac:dyDescent="0.25">
      <c r="J557" s="50"/>
      <c r="K557" s="50">
        <v>44170</v>
      </c>
      <c r="U557" s="79">
        <v>44355</v>
      </c>
    </row>
    <row r="558" spans="10:21" x14ac:dyDescent="0.25">
      <c r="J558" s="50"/>
      <c r="K558" s="50">
        <v>44171</v>
      </c>
      <c r="U558" s="79">
        <v>44356</v>
      </c>
    </row>
    <row r="559" spans="10:21" x14ac:dyDescent="0.25">
      <c r="J559" s="50"/>
      <c r="K559" s="50">
        <v>44172</v>
      </c>
      <c r="U559" s="79">
        <v>44357</v>
      </c>
    </row>
    <row r="560" spans="10:21" x14ac:dyDescent="0.25">
      <c r="J560" s="50"/>
      <c r="K560" s="50">
        <v>44173</v>
      </c>
      <c r="U560" s="79">
        <v>44358</v>
      </c>
    </row>
    <row r="561" spans="10:21" x14ac:dyDescent="0.25">
      <c r="J561" s="50"/>
      <c r="K561" s="50">
        <v>44174</v>
      </c>
      <c r="U561" s="79">
        <v>44359</v>
      </c>
    </row>
    <row r="562" spans="10:21" x14ac:dyDescent="0.25">
      <c r="J562" s="50"/>
      <c r="K562" s="50">
        <v>44175</v>
      </c>
      <c r="U562" s="79">
        <v>44360</v>
      </c>
    </row>
    <row r="563" spans="10:21" x14ac:dyDescent="0.25">
      <c r="J563" s="50"/>
      <c r="K563" s="50">
        <v>44176</v>
      </c>
      <c r="U563" s="79">
        <v>44361</v>
      </c>
    </row>
    <row r="564" spans="10:21" x14ac:dyDescent="0.25">
      <c r="J564" s="50"/>
      <c r="K564" s="50">
        <v>44177</v>
      </c>
      <c r="U564" s="79">
        <v>44362</v>
      </c>
    </row>
    <row r="565" spans="10:21" x14ac:dyDescent="0.25">
      <c r="J565" s="50"/>
      <c r="K565" s="50">
        <v>44178</v>
      </c>
      <c r="U565" s="79">
        <v>44363</v>
      </c>
    </row>
    <row r="566" spans="10:21" x14ac:dyDescent="0.25">
      <c r="J566" s="50"/>
      <c r="K566" s="50">
        <v>44179</v>
      </c>
      <c r="U566" s="79">
        <v>44364</v>
      </c>
    </row>
    <row r="567" spans="10:21" x14ac:dyDescent="0.25">
      <c r="J567" s="50"/>
      <c r="K567" s="50">
        <v>44180</v>
      </c>
      <c r="U567" s="79">
        <v>44365</v>
      </c>
    </row>
    <row r="568" spans="10:21" x14ac:dyDescent="0.25">
      <c r="J568" s="50"/>
      <c r="K568" s="50">
        <v>44181</v>
      </c>
      <c r="U568" s="79">
        <v>44366</v>
      </c>
    </row>
    <row r="569" spans="10:21" x14ac:dyDescent="0.25">
      <c r="J569" s="50"/>
      <c r="K569" s="50">
        <v>44182</v>
      </c>
      <c r="U569" s="79">
        <v>44367</v>
      </c>
    </row>
    <row r="570" spans="10:21" x14ac:dyDescent="0.25">
      <c r="J570" s="50"/>
      <c r="K570" s="50">
        <v>44183</v>
      </c>
      <c r="U570" s="79">
        <v>44368</v>
      </c>
    </row>
    <row r="571" spans="10:21" x14ac:dyDescent="0.25">
      <c r="J571" s="50"/>
      <c r="K571" s="50">
        <v>44184</v>
      </c>
      <c r="U571" s="79">
        <v>44369</v>
      </c>
    </row>
    <row r="572" spans="10:21" x14ac:dyDescent="0.25">
      <c r="J572" s="50"/>
      <c r="K572" s="50">
        <v>44185</v>
      </c>
      <c r="U572" s="79">
        <v>44370</v>
      </c>
    </row>
    <row r="573" spans="10:21" x14ac:dyDescent="0.25">
      <c r="J573" s="50"/>
      <c r="K573" s="50">
        <v>44186</v>
      </c>
      <c r="U573" s="79">
        <v>44371</v>
      </c>
    </row>
    <row r="574" spans="10:21" x14ac:dyDescent="0.25">
      <c r="J574" s="50"/>
      <c r="K574" s="50">
        <v>44187</v>
      </c>
      <c r="U574" s="79">
        <v>44372</v>
      </c>
    </row>
    <row r="575" spans="10:21" x14ac:dyDescent="0.25">
      <c r="J575" s="50"/>
      <c r="K575" s="50">
        <v>44188</v>
      </c>
      <c r="U575" s="79">
        <v>44373</v>
      </c>
    </row>
    <row r="576" spans="10:21" x14ac:dyDescent="0.25">
      <c r="J576" s="50"/>
      <c r="K576" s="50">
        <v>44189</v>
      </c>
      <c r="U576" s="79">
        <v>44374</v>
      </c>
    </row>
    <row r="577" spans="10:21" x14ac:dyDescent="0.25">
      <c r="J577" s="50"/>
      <c r="K577" s="50">
        <v>44190</v>
      </c>
      <c r="U577" s="79">
        <v>44375</v>
      </c>
    </row>
    <row r="578" spans="10:21" x14ac:dyDescent="0.25">
      <c r="J578" s="50"/>
      <c r="K578" s="50">
        <v>44191</v>
      </c>
      <c r="U578" s="79">
        <v>44376</v>
      </c>
    </row>
    <row r="579" spans="10:21" x14ac:dyDescent="0.25">
      <c r="J579" s="50"/>
      <c r="K579" s="50">
        <v>44192</v>
      </c>
      <c r="U579" s="79">
        <v>44377</v>
      </c>
    </row>
    <row r="580" spans="10:21" x14ac:dyDescent="0.25">
      <c r="J580" s="50"/>
      <c r="K580" s="50">
        <v>44193</v>
      </c>
      <c r="U580" s="79">
        <v>44378</v>
      </c>
    </row>
    <row r="581" spans="10:21" x14ac:dyDescent="0.25">
      <c r="J581" s="50"/>
      <c r="K581" s="50">
        <v>44194</v>
      </c>
      <c r="U581" s="79">
        <v>44379</v>
      </c>
    </row>
    <row r="582" spans="10:21" x14ac:dyDescent="0.25">
      <c r="J582" s="50"/>
      <c r="K582" s="50">
        <v>44195</v>
      </c>
      <c r="U582" s="79">
        <v>44380</v>
      </c>
    </row>
    <row r="583" spans="10:21" x14ac:dyDescent="0.25">
      <c r="J583" s="50"/>
      <c r="K583" s="50">
        <v>44196</v>
      </c>
      <c r="U583" s="79">
        <v>44381</v>
      </c>
    </row>
    <row r="584" spans="10:21" x14ac:dyDescent="0.25">
      <c r="J584" s="50"/>
      <c r="K584" s="50">
        <v>44197</v>
      </c>
      <c r="U584" s="79">
        <v>44382</v>
      </c>
    </row>
    <row r="585" spans="10:21" x14ac:dyDescent="0.25">
      <c r="J585" s="50"/>
      <c r="K585" s="50">
        <v>44198</v>
      </c>
      <c r="U585" s="79">
        <v>44383</v>
      </c>
    </row>
    <row r="586" spans="10:21" x14ac:dyDescent="0.25">
      <c r="J586" s="50"/>
      <c r="K586" s="50">
        <v>44199</v>
      </c>
      <c r="U586" s="79">
        <v>44384</v>
      </c>
    </row>
    <row r="587" spans="10:21" x14ac:dyDescent="0.25">
      <c r="J587" s="50"/>
      <c r="K587" s="50">
        <v>44200</v>
      </c>
      <c r="U587" s="79">
        <v>44385</v>
      </c>
    </row>
    <row r="588" spans="10:21" x14ac:dyDescent="0.25">
      <c r="J588" s="50"/>
      <c r="K588" s="50">
        <v>44201</v>
      </c>
      <c r="U588" s="79">
        <v>44386</v>
      </c>
    </row>
    <row r="589" spans="10:21" x14ac:dyDescent="0.25">
      <c r="J589" s="50"/>
      <c r="K589" s="50">
        <v>44202</v>
      </c>
      <c r="U589" s="79">
        <v>44387</v>
      </c>
    </row>
    <row r="590" spans="10:21" x14ac:dyDescent="0.25">
      <c r="J590" s="50"/>
      <c r="K590" s="50">
        <v>44203</v>
      </c>
      <c r="U590" s="79">
        <v>44388</v>
      </c>
    </row>
    <row r="591" spans="10:21" x14ac:dyDescent="0.25">
      <c r="J591" s="50"/>
      <c r="K591" s="50">
        <v>44204</v>
      </c>
      <c r="U591" s="79">
        <v>44389</v>
      </c>
    </row>
    <row r="592" spans="10:21" x14ac:dyDescent="0.25">
      <c r="J592" s="50"/>
      <c r="K592" s="50">
        <v>44205</v>
      </c>
      <c r="U592" s="79">
        <v>44390</v>
      </c>
    </row>
    <row r="593" spans="10:21" x14ac:dyDescent="0.25">
      <c r="J593" s="50"/>
      <c r="K593" s="50">
        <v>44206</v>
      </c>
      <c r="U593" s="79">
        <v>44391</v>
      </c>
    </row>
    <row r="594" spans="10:21" x14ac:dyDescent="0.25">
      <c r="J594" s="50"/>
      <c r="K594" s="50">
        <v>44207</v>
      </c>
      <c r="U594" s="79">
        <v>44392</v>
      </c>
    </row>
    <row r="595" spans="10:21" x14ac:dyDescent="0.25">
      <c r="J595" s="50"/>
      <c r="K595" s="50">
        <v>44208</v>
      </c>
      <c r="U595" s="79">
        <v>44393</v>
      </c>
    </row>
    <row r="596" spans="10:21" x14ac:dyDescent="0.25">
      <c r="J596" s="50"/>
      <c r="K596" s="50">
        <v>44209</v>
      </c>
      <c r="U596" s="79">
        <v>44394</v>
      </c>
    </row>
    <row r="597" spans="10:21" x14ac:dyDescent="0.25">
      <c r="J597" s="50"/>
      <c r="K597" s="50">
        <v>44210</v>
      </c>
      <c r="U597" s="79">
        <v>44395</v>
      </c>
    </row>
    <row r="598" spans="10:21" x14ac:dyDescent="0.25">
      <c r="J598" s="50"/>
      <c r="K598" s="50">
        <v>44211</v>
      </c>
      <c r="U598" s="79">
        <v>44396</v>
      </c>
    </row>
    <row r="599" spans="10:21" x14ac:dyDescent="0.25">
      <c r="J599" s="50"/>
      <c r="K599" s="50">
        <v>44212</v>
      </c>
      <c r="U599" s="79">
        <v>44397</v>
      </c>
    </row>
    <row r="600" spans="10:21" x14ac:dyDescent="0.25">
      <c r="J600" s="50"/>
      <c r="K600" s="50">
        <v>44213</v>
      </c>
      <c r="U600" s="79">
        <v>44398</v>
      </c>
    </row>
    <row r="601" spans="10:21" x14ac:dyDescent="0.25">
      <c r="J601" s="50"/>
      <c r="K601" s="50">
        <v>44214</v>
      </c>
      <c r="U601" s="79">
        <v>44399</v>
      </c>
    </row>
    <row r="602" spans="10:21" x14ac:dyDescent="0.25">
      <c r="J602" s="50"/>
      <c r="K602" s="50">
        <v>44215</v>
      </c>
      <c r="U602" s="79">
        <v>44400</v>
      </c>
    </row>
    <row r="603" spans="10:21" x14ac:dyDescent="0.25">
      <c r="J603" s="50"/>
      <c r="K603" s="50">
        <v>44216</v>
      </c>
      <c r="U603" s="79">
        <v>44401</v>
      </c>
    </row>
    <row r="604" spans="10:21" x14ac:dyDescent="0.25">
      <c r="J604" s="50"/>
      <c r="K604" s="50">
        <v>44217</v>
      </c>
      <c r="U604" s="79">
        <v>44402</v>
      </c>
    </row>
    <row r="605" spans="10:21" x14ac:dyDescent="0.25">
      <c r="J605" s="50"/>
      <c r="K605" s="50">
        <v>44218</v>
      </c>
      <c r="U605" s="79">
        <v>44403</v>
      </c>
    </row>
    <row r="606" spans="10:21" x14ac:dyDescent="0.25">
      <c r="J606" s="50"/>
      <c r="K606" s="50">
        <v>44219</v>
      </c>
      <c r="U606" s="79">
        <v>44404</v>
      </c>
    </row>
    <row r="607" spans="10:21" x14ac:dyDescent="0.25">
      <c r="J607" s="50"/>
      <c r="K607" s="50">
        <v>44220</v>
      </c>
      <c r="U607" s="79">
        <v>44405</v>
      </c>
    </row>
    <row r="608" spans="10:21" x14ac:dyDescent="0.25">
      <c r="J608" s="50"/>
      <c r="K608" s="50">
        <v>44221</v>
      </c>
      <c r="U608" s="79">
        <v>44406</v>
      </c>
    </row>
    <row r="609" spans="10:21" x14ac:dyDescent="0.25">
      <c r="J609" s="50"/>
      <c r="K609" s="50">
        <v>44222</v>
      </c>
      <c r="U609" s="79">
        <v>44407</v>
      </c>
    </row>
    <row r="610" spans="10:21" x14ac:dyDescent="0.25">
      <c r="J610" s="50"/>
      <c r="K610" s="50">
        <v>44223</v>
      </c>
      <c r="U610" s="79">
        <v>44408</v>
      </c>
    </row>
    <row r="611" spans="10:21" x14ac:dyDescent="0.25">
      <c r="J611" s="50"/>
      <c r="K611" s="50">
        <v>44224</v>
      </c>
      <c r="U611" s="79">
        <v>44409</v>
      </c>
    </row>
    <row r="612" spans="10:21" x14ac:dyDescent="0.25">
      <c r="J612" s="50"/>
      <c r="K612" s="50">
        <v>44225</v>
      </c>
      <c r="U612" s="79">
        <v>44410</v>
      </c>
    </row>
    <row r="613" spans="10:21" x14ac:dyDescent="0.25">
      <c r="J613" s="50"/>
      <c r="K613" s="50">
        <v>44226</v>
      </c>
      <c r="U613" s="79">
        <v>44411</v>
      </c>
    </row>
    <row r="614" spans="10:21" x14ac:dyDescent="0.25">
      <c r="J614" s="50"/>
      <c r="K614" s="50">
        <v>44227</v>
      </c>
      <c r="U614" s="79">
        <v>44412</v>
      </c>
    </row>
    <row r="615" spans="10:21" x14ac:dyDescent="0.25">
      <c r="J615" s="50"/>
      <c r="K615" s="50">
        <v>44228</v>
      </c>
      <c r="U615" s="79">
        <v>44413</v>
      </c>
    </row>
    <row r="616" spans="10:21" x14ac:dyDescent="0.25">
      <c r="J616" s="50"/>
      <c r="K616" s="50">
        <v>44229</v>
      </c>
      <c r="U616" s="79">
        <v>44414</v>
      </c>
    </row>
    <row r="617" spans="10:21" x14ac:dyDescent="0.25">
      <c r="J617" s="50"/>
      <c r="K617" s="50">
        <v>44230</v>
      </c>
      <c r="U617" s="79">
        <v>44415</v>
      </c>
    </row>
    <row r="618" spans="10:21" x14ac:dyDescent="0.25">
      <c r="J618" s="50"/>
      <c r="K618" s="50">
        <v>44231</v>
      </c>
      <c r="U618" s="79">
        <v>44416</v>
      </c>
    </row>
    <row r="619" spans="10:21" x14ac:dyDescent="0.25">
      <c r="J619" s="50"/>
      <c r="K619" s="50">
        <v>44232</v>
      </c>
      <c r="U619" s="79">
        <v>44417</v>
      </c>
    </row>
    <row r="620" spans="10:21" x14ac:dyDescent="0.25">
      <c r="J620" s="50"/>
      <c r="K620" s="50">
        <v>44233</v>
      </c>
      <c r="U620" s="79">
        <v>44418</v>
      </c>
    </row>
    <row r="621" spans="10:21" x14ac:dyDescent="0.25">
      <c r="J621" s="50"/>
      <c r="K621" s="50">
        <v>44234</v>
      </c>
      <c r="U621" s="79">
        <v>44419</v>
      </c>
    </row>
    <row r="622" spans="10:21" x14ac:dyDescent="0.25">
      <c r="J622" s="50"/>
      <c r="K622" s="50">
        <v>44235</v>
      </c>
      <c r="U622" s="79">
        <v>44420</v>
      </c>
    </row>
    <row r="623" spans="10:21" x14ac:dyDescent="0.25">
      <c r="J623" s="50"/>
      <c r="K623" s="50">
        <v>44236</v>
      </c>
      <c r="U623" s="79">
        <v>44421</v>
      </c>
    </row>
    <row r="624" spans="10:21" x14ac:dyDescent="0.25">
      <c r="J624" s="50"/>
      <c r="K624" s="50">
        <v>44237</v>
      </c>
      <c r="U624" s="79">
        <v>44422</v>
      </c>
    </row>
    <row r="625" spans="10:21" x14ac:dyDescent="0.25">
      <c r="J625" s="50"/>
      <c r="K625" s="50">
        <v>44238</v>
      </c>
      <c r="U625" s="79">
        <v>44423</v>
      </c>
    </row>
    <row r="626" spans="10:21" x14ac:dyDescent="0.25">
      <c r="J626" s="50"/>
      <c r="K626" s="50">
        <v>44239</v>
      </c>
      <c r="U626" s="79">
        <v>44424</v>
      </c>
    </row>
    <row r="627" spans="10:21" x14ac:dyDescent="0.25">
      <c r="J627" s="50"/>
      <c r="K627" s="50">
        <v>44240</v>
      </c>
      <c r="U627" s="79">
        <v>44425</v>
      </c>
    </row>
    <row r="628" spans="10:21" x14ac:dyDescent="0.25">
      <c r="J628" s="50"/>
      <c r="K628" s="50">
        <v>44241</v>
      </c>
      <c r="U628" s="79">
        <v>44426</v>
      </c>
    </row>
    <row r="629" spans="10:21" x14ac:dyDescent="0.25">
      <c r="J629" s="50"/>
      <c r="K629" s="50">
        <v>44242</v>
      </c>
      <c r="U629" s="79">
        <v>44427</v>
      </c>
    </row>
    <row r="630" spans="10:21" x14ac:dyDescent="0.25">
      <c r="J630" s="50"/>
      <c r="K630" s="50">
        <v>44243</v>
      </c>
      <c r="U630" s="79">
        <v>44428</v>
      </c>
    </row>
    <row r="631" spans="10:21" x14ac:dyDescent="0.25">
      <c r="J631" s="50"/>
      <c r="K631" s="50">
        <v>44244</v>
      </c>
      <c r="U631" s="79">
        <v>44429</v>
      </c>
    </row>
    <row r="632" spans="10:21" x14ac:dyDescent="0.25">
      <c r="J632" s="50"/>
      <c r="K632" s="50">
        <v>44245</v>
      </c>
      <c r="U632" s="79">
        <v>44430</v>
      </c>
    </row>
    <row r="633" spans="10:21" x14ac:dyDescent="0.25">
      <c r="J633" s="50"/>
      <c r="K633" s="50">
        <v>44246</v>
      </c>
      <c r="U633" s="79">
        <v>44431</v>
      </c>
    </row>
    <row r="634" spans="10:21" x14ac:dyDescent="0.25">
      <c r="J634" s="50"/>
      <c r="K634" s="50">
        <v>44247</v>
      </c>
      <c r="U634" s="79">
        <v>44432</v>
      </c>
    </row>
    <row r="635" spans="10:21" x14ac:dyDescent="0.25">
      <c r="J635" s="50"/>
      <c r="K635" s="50">
        <v>44248</v>
      </c>
      <c r="U635" s="79">
        <v>44433</v>
      </c>
    </row>
    <row r="636" spans="10:21" x14ac:dyDescent="0.25">
      <c r="K636" s="50">
        <v>44249</v>
      </c>
      <c r="U636" s="79">
        <v>44434</v>
      </c>
    </row>
    <row r="637" spans="10:21" x14ac:dyDescent="0.25">
      <c r="K637" s="50">
        <v>44250</v>
      </c>
      <c r="U637" s="79">
        <v>44435</v>
      </c>
    </row>
    <row r="638" spans="10:21" x14ac:dyDescent="0.25">
      <c r="K638" s="50">
        <v>44251</v>
      </c>
      <c r="U638" s="79">
        <v>44436</v>
      </c>
    </row>
    <row r="639" spans="10:21" x14ac:dyDescent="0.25">
      <c r="K639" s="50">
        <v>44252</v>
      </c>
      <c r="U639" s="79">
        <v>44437</v>
      </c>
    </row>
    <row r="640" spans="10:21" x14ac:dyDescent="0.25">
      <c r="K640" s="50">
        <v>44253</v>
      </c>
      <c r="U640" s="79">
        <v>44438</v>
      </c>
    </row>
    <row r="641" spans="11:21" x14ac:dyDescent="0.25">
      <c r="K641" s="50">
        <v>44254</v>
      </c>
      <c r="U641" s="79">
        <v>44439</v>
      </c>
    </row>
    <row r="642" spans="11:21" x14ac:dyDescent="0.25">
      <c r="K642" s="50">
        <v>44255</v>
      </c>
      <c r="U642" s="79">
        <v>44440</v>
      </c>
    </row>
    <row r="643" spans="11:21" x14ac:dyDescent="0.25">
      <c r="K643" s="50">
        <v>44256</v>
      </c>
      <c r="U643" s="79">
        <v>44441</v>
      </c>
    </row>
    <row r="644" spans="11:21" x14ac:dyDescent="0.25">
      <c r="K644" s="50">
        <v>44257</v>
      </c>
      <c r="U644" s="79">
        <v>44442</v>
      </c>
    </row>
    <row r="645" spans="11:21" x14ac:dyDescent="0.25">
      <c r="K645" s="50">
        <v>44258</v>
      </c>
      <c r="U645" s="79">
        <v>44443</v>
      </c>
    </row>
    <row r="646" spans="11:21" x14ac:dyDescent="0.25">
      <c r="K646" s="50">
        <v>44259</v>
      </c>
      <c r="U646" s="79">
        <v>44444</v>
      </c>
    </row>
    <row r="647" spans="11:21" x14ac:dyDescent="0.25">
      <c r="K647" s="50">
        <v>44260</v>
      </c>
      <c r="U647" s="79">
        <v>44445</v>
      </c>
    </row>
    <row r="648" spans="11:21" x14ac:dyDescent="0.25">
      <c r="K648" s="50">
        <v>44261</v>
      </c>
      <c r="U648" s="79">
        <v>44446</v>
      </c>
    </row>
    <row r="649" spans="11:21" x14ac:dyDescent="0.25">
      <c r="K649" s="50">
        <v>44262</v>
      </c>
      <c r="U649" s="79">
        <v>44447</v>
      </c>
    </row>
    <row r="650" spans="11:21" x14ac:dyDescent="0.25">
      <c r="K650" s="50">
        <v>44263</v>
      </c>
      <c r="U650" s="79">
        <v>44448</v>
      </c>
    </row>
    <row r="651" spans="11:21" x14ac:dyDescent="0.25">
      <c r="K651" s="50">
        <v>44264</v>
      </c>
      <c r="U651" s="79">
        <v>44449</v>
      </c>
    </row>
    <row r="652" spans="11:21" x14ac:dyDescent="0.25">
      <c r="K652" s="50">
        <v>44265</v>
      </c>
      <c r="U652" s="79">
        <v>44450</v>
      </c>
    </row>
    <row r="653" spans="11:21" x14ac:dyDescent="0.25">
      <c r="K653" s="50">
        <v>44266</v>
      </c>
      <c r="U653" s="79">
        <v>44451</v>
      </c>
    </row>
    <row r="654" spans="11:21" x14ac:dyDescent="0.25">
      <c r="K654" s="50">
        <v>44267</v>
      </c>
      <c r="U654" s="79">
        <v>44452</v>
      </c>
    </row>
    <row r="655" spans="11:21" x14ac:dyDescent="0.25">
      <c r="K655" s="50">
        <v>44268</v>
      </c>
      <c r="U655" s="79">
        <v>44453</v>
      </c>
    </row>
    <row r="656" spans="11:21" x14ac:dyDescent="0.25">
      <c r="K656" s="50">
        <v>44269</v>
      </c>
      <c r="U656" s="79">
        <v>44454</v>
      </c>
    </row>
    <row r="657" spans="11:21" x14ac:dyDescent="0.25">
      <c r="K657" s="50">
        <v>44270</v>
      </c>
      <c r="U657" s="79">
        <v>44455</v>
      </c>
    </row>
    <row r="658" spans="11:21" x14ac:dyDescent="0.25">
      <c r="K658" s="50">
        <v>44271</v>
      </c>
      <c r="U658" s="79">
        <v>44456</v>
      </c>
    </row>
    <row r="659" spans="11:21" x14ac:dyDescent="0.25">
      <c r="K659" s="50">
        <v>44272</v>
      </c>
      <c r="U659" s="79">
        <v>44457</v>
      </c>
    </row>
    <row r="660" spans="11:21" x14ac:dyDescent="0.25">
      <c r="K660" s="50">
        <v>44273</v>
      </c>
      <c r="U660" s="79">
        <v>44458</v>
      </c>
    </row>
    <row r="661" spans="11:21" x14ac:dyDescent="0.25">
      <c r="K661" s="50">
        <v>44274</v>
      </c>
      <c r="U661" s="79">
        <v>44459</v>
      </c>
    </row>
    <row r="662" spans="11:21" x14ac:dyDescent="0.25">
      <c r="K662" s="50">
        <v>44275</v>
      </c>
      <c r="U662" s="79">
        <v>44460</v>
      </c>
    </row>
    <row r="663" spans="11:21" x14ac:dyDescent="0.25">
      <c r="K663" s="50">
        <v>44276</v>
      </c>
      <c r="U663" s="79">
        <v>44461</v>
      </c>
    </row>
    <row r="664" spans="11:21" x14ac:dyDescent="0.25">
      <c r="K664" s="50">
        <v>44277</v>
      </c>
      <c r="U664" s="79">
        <v>44462</v>
      </c>
    </row>
    <row r="665" spans="11:21" x14ac:dyDescent="0.25">
      <c r="K665" s="50">
        <v>44278</v>
      </c>
      <c r="U665" s="79">
        <v>44463</v>
      </c>
    </row>
    <row r="666" spans="11:21" x14ac:dyDescent="0.25">
      <c r="K666" s="50">
        <v>44279</v>
      </c>
      <c r="U666" s="79">
        <v>44464</v>
      </c>
    </row>
    <row r="667" spans="11:21" x14ac:dyDescent="0.25">
      <c r="K667" s="50">
        <v>44280</v>
      </c>
      <c r="U667" s="79">
        <v>44465</v>
      </c>
    </row>
    <row r="668" spans="11:21" x14ac:dyDescent="0.25">
      <c r="K668" s="50">
        <v>44281</v>
      </c>
      <c r="U668" s="79">
        <v>44466</v>
      </c>
    </row>
    <row r="669" spans="11:21" x14ac:dyDescent="0.25">
      <c r="K669" s="50">
        <v>44282</v>
      </c>
      <c r="U669" s="79">
        <v>44467</v>
      </c>
    </row>
    <row r="670" spans="11:21" x14ac:dyDescent="0.25">
      <c r="K670" s="50">
        <v>44283</v>
      </c>
      <c r="U670" s="79">
        <v>44468</v>
      </c>
    </row>
    <row r="671" spans="11:21" x14ac:dyDescent="0.25">
      <c r="K671" s="50">
        <v>44284</v>
      </c>
      <c r="U671" s="79">
        <v>44469</v>
      </c>
    </row>
    <row r="672" spans="11:21" x14ac:dyDescent="0.25">
      <c r="K672" s="50">
        <v>44285</v>
      </c>
      <c r="U672" s="79">
        <v>44470</v>
      </c>
    </row>
    <row r="673" spans="11:21" x14ac:dyDescent="0.25">
      <c r="K673" s="50">
        <v>44286</v>
      </c>
      <c r="U673" s="79">
        <v>44471</v>
      </c>
    </row>
    <row r="674" spans="11:21" x14ac:dyDescent="0.25">
      <c r="K674" s="50">
        <v>44287</v>
      </c>
      <c r="U674" s="79">
        <v>44472</v>
      </c>
    </row>
    <row r="675" spans="11:21" x14ac:dyDescent="0.25">
      <c r="K675" s="50">
        <v>44288</v>
      </c>
      <c r="U675" s="79">
        <v>44473</v>
      </c>
    </row>
    <row r="676" spans="11:21" x14ac:dyDescent="0.25">
      <c r="K676" s="50">
        <v>44289</v>
      </c>
      <c r="U676" s="79">
        <v>44474</v>
      </c>
    </row>
    <row r="677" spans="11:21" x14ac:dyDescent="0.25">
      <c r="K677" s="50">
        <v>44290</v>
      </c>
      <c r="U677" s="79">
        <v>44475</v>
      </c>
    </row>
    <row r="678" spans="11:21" x14ac:dyDescent="0.25">
      <c r="K678" s="50">
        <v>44291</v>
      </c>
      <c r="U678" s="79">
        <v>44476</v>
      </c>
    </row>
    <row r="679" spans="11:21" x14ac:dyDescent="0.25">
      <c r="K679" s="50">
        <v>44292</v>
      </c>
      <c r="U679" s="79">
        <v>44477</v>
      </c>
    </row>
    <row r="680" spans="11:21" x14ac:dyDescent="0.25">
      <c r="K680" s="50">
        <v>44293</v>
      </c>
      <c r="U680" s="79">
        <v>44478</v>
      </c>
    </row>
    <row r="681" spans="11:21" x14ac:dyDescent="0.25">
      <c r="K681" s="50">
        <v>44294</v>
      </c>
      <c r="U681" s="79">
        <v>44479</v>
      </c>
    </row>
    <row r="682" spans="11:21" x14ac:dyDescent="0.25">
      <c r="K682" s="50">
        <v>44295</v>
      </c>
      <c r="U682" s="79">
        <v>44480</v>
      </c>
    </row>
    <row r="683" spans="11:21" x14ac:dyDescent="0.25">
      <c r="K683" s="50">
        <v>44296</v>
      </c>
      <c r="U683" s="79">
        <v>44481</v>
      </c>
    </row>
    <row r="684" spans="11:21" x14ac:dyDescent="0.25">
      <c r="K684" s="50">
        <v>44297</v>
      </c>
      <c r="U684" s="79">
        <v>44482</v>
      </c>
    </row>
    <row r="685" spans="11:21" x14ac:dyDescent="0.25">
      <c r="K685" s="50">
        <v>44298</v>
      </c>
      <c r="U685" s="79">
        <v>44483</v>
      </c>
    </row>
    <row r="686" spans="11:21" x14ac:dyDescent="0.25">
      <c r="K686" s="50">
        <v>44299</v>
      </c>
      <c r="U686" s="79">
        <v>44484</v>
      </c>
    </row>
    <row r="687" spans="11:21" x14ac:dyDescent="0.25">
      <c r="K687" s="50">
        <v>44300</v>
      </c>
      <c r="U687" s="79">
        <v>44485</v>
      </c>
    </row>
    <row r="688" spans="11:21" x14ac:dyDescent="0.25">
      <c r="K688" s="50">
        <v>44301</v>
      </c>
      <c r="U688" s="79">
        <v>44486</v>
      </c>
    </row>
    <row r="689" spans="11:21" x14ac:dyDescent="0.25">
      <c r="K689" s="50">
        <v>44302</v>
      </c>
      <c r="U689" s="79">
        <v>44487</v>
      </c>
    </row>
    <row r="690" spans="11:21" x14ac:dyDescent="0.25">
      <c r="K690" s="50">
        <v>44303</v>
      </c>
      <c r="U690" s="79">
        <v>44488</v>
      </c>
    </row>
    <row r="691" spans="11:21" x14ac:dyDescent="0.25">
      <c r="K691" s="50">
        <v>44304</v>
      </c>
      <c r="U691" s="79">
        <v>44489</v>
      </c>
    </row>
    <row r="692" spans="11:21" x14ac:dyDescent="0.25">
      <c r="K692" s="50">
        <v>44305</v>
      </c>
      <c r="U692" s="79">
        <v>44490</v>
      </c>
    </row>
    <row r="693" spans="11:21" x14ac:dyDescent="0.25">
      <c r="K693" s="50">
        <v>44306</v>
      </c>
      <c r="U693" s="79">
        <v>44491</v>
      </c>
    </row>
    <row r="694" spans="11:21" x14ac:dyDescent="0.25">
      <c r="K694" s="50">
        <v>44307</v>
      </c>
      <c r="U694" s="79">
        <v>44492</v>
      </c>
    </row>
    <row r="695" spans="11:21" x14ac:dyDescent="0.25">
      <c r="K695" s="50">
        <v>44308</v>
      </c>
      <c r="U695" s="79">
        <v>44493</v>
      </c>
    </row>
    <row r="696" spans="11:21" x14ac:dyDescent="0.25">
      <c r="K696" s="50">
        <v>44309</v>
      </c>
      <c r="U696" s="79">
        <v>44494</v>
      </c>
    </row>
    <row r="697" spans="11:21" x14ac:dyDescent="0.25">
      <c r="K697" s="50">
        <v>44310</v>
      </c>
      <c r="U697" s="79">
        <v>44495</v>
      </c>
    </row>
    <row r="698" spans="11:21" x14ac:dyDescent="0.25">
      <c r="K698" s="50">
        <v>44311</v>
      </c>
      <c r="U698" s="79">
        <v>44496</v>
      </c>
    </row>
    <row r="699" spans="11:21" x14ac:dyDescent="0.25">
      <c r="K699" s="50">
        <v>44312</v>
      </c>
      <c r="U699" s="79">
        <v>44497</v>
      </c>
    </row>
    <row r="700" spans="11:21" x14ac:dyDescent="0.25">
      <c r="K700" s="50">
        <v>44313</v>
      </c>
      <c r="U700" s="79">
        <v>44498</v>
      </c>
    </row>
    <row r="701" spans="11:21" x14ac:dyDescent="0.25">
      <c r="K701" s="50">
        <v>44314</v>
      </c>
      <c r="U701" s="79">
        <v>44499</v>
      </c>
    </row>
    <row r="702" spans="11:21" x14ac:dyDescent="0.25">
      <c r="K702" s="50">
        <v>44315</v>
      </c>
      <c r="U702" s="79">
        <v>44500</v>
      </c>
    </row>
    <row r="703" spans="11:21" x14ac:dyDescent="0.25">
      <c r="K703" s="50">
        <v>44316</v>
      </c>
      <c r="U703" s="79">
        <v>44501</v>
      </c>
    </row>
    <row r="704" spans="11:21" x14ac:dyDescent="0.25">
      <c r="K704" s="50">
        <v>44317</v>
      </c>
      <c r="U704" s="79">
        <v>44502</v>
      </c>
    </row>
    <row r="705" spans="11:21" x14ac:dyDescent="0.25">
      <c r="K705" s="50">
        <v>44318</v>
      </c>
      <c r="U705" s="79">
        <v>44503</v>
      </c>
    </row>
    <row r="706" spans="11:21" x14ac:dyDescent="0.25">
      <c r="K706" s="50">
        <v>44319</v>
      </c>
      <c r="U706" s="79">
        <v>44504</v>
      </c>
    </row>
    <row r="707" spans="11:21" x14ac:dyDescent="0.25">
      <c r="K707" s="50">
        <v>44320</v>
      </c>
      <c r="U707" s="79">
        <v>44505</v>
      </c>
    </row>
    <row r="708" spans="11:21" x14ac:dyDescent="0.25">
      <c r="K708" s="50">
        <v>44321</v>
      </c>
      <c r="U708" s="79">
        <v>44506</v>
      </c>
    </row>
    <row r="709" spans="11:21" x14ac:dyDescent="0.25">
      <c r="K709" s="50">
        <v>44322</v>
      </c>
      <c r="U709" s="79">
        <v>44507</v>
      </c>
    </row>
    <row r="710" spans="11:21" x14ac:dyDescent="0.25">
      <c r="K710" s="50">
        <v>44323</v>
      </c>
      <c r="U710" s="79">
        <v>44508</v>
      </c>
    </row>
    <row r="711" spans="11:21" x14ac:dyDescent="0.25">
      <c r="K711" s="50">
        <v>44324</v>
      </c>
      <c r="U711" s="79">
        <v>44509</v>
      </c>
    </row>
    <row r="712" spans="11:21" x14ac:dyDescent="0.25">
      <c r="K712" s="50">
        <v>44325</v>
      </c>
      <c r="U712" s="79">
        <v>44510</v>
      </c>
    </row>
    <row r="713" spans="11:21" x14ac:dyDescent="0.25">
      <c r="K713" s="50">
        <v>44326</v>
      </c>
      <c r="U713" s="79">
        <v>44511</v>
      </c>
    </row>
    <row r="714" spans="11:21" x14ac:dyDescent="0.25">
      <c r="K714" s="50">
        <v>44327</v>
      </c>
      <c r="U714" s="79">
        <v>44512</v>
      </c>
    </row>
    <row r="715" spans="11:21" x14ac:dyDescent="0.25">
      <c r="K715" s="50">
        <v>44328</v>
      </c>
      <c r="U715" s="79">
        <v>44513</v>
      </c>
    </row>
    <row r="716" spans="11:21" x14ac:dyDescent="0.25">
      <c r="K716" s="50">
        <v>44329</v>
      </c>
      <c r="U716" s="79">
        <v>44514</v>
      </c>
    </row>
    <row r="717" spans="11:21" x14ac:dyDescent="0.25">
      <c r="K717" s="50">
        <v>44330</v>
      </c>
      <c r="U717" s="79">
        <v>44515</v>
      </c>
    </row>
    <row r="718" spans="11:21" x14ac:dyDescent="0.25">
      <c r="K718" s="50">
        <v>44331</v>
      </c>
      <c r="U718" s="79">
        <v>44516</v>
      </c>
    </row>
    <row r="719" spans="11:21" x14ac:dyDescent="0.25">
      <c r="K719" s="50">
        <v>44332</v>
      </c>
      <c r="U719" s="79">
        <v>44517</v>
      </c>
    </row>
    <row r="720" spans="11:21" x14ac:dyDescent="0.25">
      <c r="K720" s="50">
        <v>44333</v>
      </c>
      <c r="U720" s="79">
        <v>44518</v>
      </c>
    </row>
    <row r="721" spans="11:21" x14ac:dyDescent="0.25">
      <c r="K721" s="50">
        <v>44334</v>
      </c>
      <c r="U721" s="79">
        <v>44519</v>
      </c>
    </row>
    <row r="722" spans="11:21" x14ac:dyDescent="0.25">
      <c r="K722" s="50">
        <v>44335</v>
      </c>
      <c r="U722" s="79">
        <v>44520</v>
      </c>
    </row>
    <row r="723" spans="11:21" x14ac:dyDescent="0.25">
      <c r="K723" s="50">
        <v>44336</v>
      </c>
      <c r="U723" s="79">
        <v>44521</v>
      </c>
    </row>
    <row r="724" spans="11:21" x14ac:dyDescent="0.25">
      <c r="K724" s="50">
        <v>44337</v>
      </c>
      <c r="U724" s="79">
        <v>44522</v>
      </c>
    </row>
    <row r="725" spans="11:21" x14ac:dyDescent="0.25">
      <c r="K725" s="50">
        <v>44338</v>
      </c>
      <c r="U725" s="79">
        <v>44523</v>
      </c>
    </row>
    <row r="726" spans="11:21" x14ac:dyDescent="0.25">
      <c r="K726" s="50">
        <v>44339</v>
      </c>
      <c r="U726" s="79">
        <v>44524</v>
      </c>
    </row>
    <row r="727" spans="11:21" x14ac:dyDescent="0.25">
      <c r="K727" s="50">
        <v>44340</v>
      </c>
      <c r="U727" s="79">
        <v>44525</v>
      </c>
    </row>
    <row r="728" spans="11:21" x14ac:dyDescent="0.25">
      <c r="K728" s="50">
        <v>44341</v>
      </c>
      <c r="U728" s="79">
        <v>44526</v>
      </c>
    </row>
    <row r="729" spans="11:21" x14ac:dyDescent="0.25">
      <c r="K729" s="50">
        <v>44342</v>
      </c>
      <c r="U729" s="79">
        <v>44527</v>
      </c>
    </row>
    <row r="730" spans="11:21" x14ac:dyDescent="0.25">
      <c r="K730" s="50">
        <v>44343</v>
      </c>
      <c r="U730" s="79">
        <v>44528</v>
      </c>
    </row>
    <row r="731" spans="11:21" x14ac:dyDescent="0.25">
      <c r="K731" s="50">
        <v>44344</v>
      </c>
      <c r="U731" s="79">
        <v>44529</v>
      </c>
    </row>
    <row r="732" spans="11:21" x14ac:dyDescent="0.25">
      <c r="K732" s="50">
        <v>44345</v>
      </c>
      <c r="U732" s="79">
        <v>44530</v>
      </c>
    </row>
    <row r="733" spans="11:21" x14ac:dyDescent="0.25">
      <c r="K733" s="50">
        <v>44346</v>
      </c>
      <c r="U733" s="79">
        <v>44531</v>
      </c>
    </row>
    <row r="734" spans="11:21" x14ac:dyDescent="0.25">
      <c r="K734" s="50">
        <v>44347</v>
      </c>
      <c r="U734" s="79">
        <v>44532</v>
      </c>
    </row>
    <row r="735" spans="11:21" x14ac:dyDescent="0.25">
      <c r="K735" s="50">
        <v>44348</v>
      </c>
      <c r="U735" s="79"/>
    </row>
    <row r="736" spans="11:21" x14ac:dyDescent="0.25">
      <c r="K736" s="50">
        <v>44349</v>
      </c>
      <c r="U736" s="79"/>
    </row>
    <row r="737" spans="11:21" x14ac:dyDescent="0.25">
      <c r="K737" s="50">
        <v>44350</v>
      </c>
      <c r="U737" s="79"/>
    </row>
    <row r="738" spans="11:21" x14ac:dyDescent="0.25">
      <c r="K738" s="50">
        <v>44351</v>
      </c>
      <c r="U738" s="79"/>
    </row>
    <row r="739" spans="11:21" x14ac:dyDescent="0.25">
      <c r="K739" s="50">
        <v>44352</v>
      </c>
      <c r="U739" s="79"/>
    </row>
    <row r="740" spans="11:21" x14ac:dyDescent="0.25">
      <c r="K740" s="50">
        <v>44353</v>
      </c>
      <c r="U740" s="79"/>
    </row>
    <row r="741" spans="11:21" x14ac:dyDescent="0.25">
      <c r="K741" s="50">
        <v>44354</v>
      </c>
      <c r="U741" s="79"/>
    </row>
    <row r="742" spans="11:21" x14ac:dyDescent="0.25">
      <c r="K742" s="50">
        <v>44355</v>
      </c>
      <c r="U742" s="79"/>
    </row>
    <row r="743" spans="11:21" x14ac:dyDescent="0.25">
      <c r="K743" s="50">
        <v>44356</v>
      </c>
      <c r="U743" s="79"/>
    </row>
    <row r="744" spans="11:21" x14ac:dyDescent="0.25">
      <c r="K744" s="50">
        <v>44357</v>
      </c>
      <c r="U744" s="79"/>
    </row>
    <row r="745" spans="11:21" x14ac:dyDescent="0.25">
      <c r="K745" s="50">
        <v>44358</v>
      </c>
      <c r="U745" s="79"/>
    </row>
    <row r="746" spans="11:21" x14ac:dyDescent="0.25">
      <c r="K746" s="50">
        <v>44359</v>
      </c>
      <c r="U746" s="79"/>
    </row>
    <row r="747" spans="11:21" x14ac:dyDescent="0.25">
      <c r="K747" s="50">
        <v>44360</v>
      </c>
      <c r="U747" s="79"/>
    </row>
    <row r="748" spans="11:21" x14ac:dyDescent="0.25">
      <c r="K748" s="50">
        <v>44361</v>
      </c>
      <c r="U748" s="79"/>
    </row>
    <row r="749" spans="11:21" x14ac:dyDescent="0.25">
      <c r="K749" s="50">
        <v>44362</v>
      </c>
      <c r="U749" s="79"/>
    </row>
    <row r="750" spans="11:21" x14ac:dyDescent="0.25">
      <c r="K750" s="50">
        <v>44363</v>
      </c>
      <c r="U750" s="79"/>
    </row>
    <row r="751" spans="11:21" x14ac:dyDescent="0.25">
      <c r="K751" s="50">
        <v>44364</v>
      </c>
      <c r="U751" s="79"/>
    </row>
    <row r="752" spans="11:21" x14ac:dyDescent="0.25">
      <c r="K752" s="50">
        <v>44365</v>
      </c>
      <c r="U752" s="79"/>
    </row>
    <row r="753" spans="11:21" x14ac:dyDescent="0.25">
      <c r="K753" s="50">
        <v>44366</v>
      </c>
      <c r="U753" s="79"/>
    </row>
    <row r="754" spans="11:21" x14ac:dyDescent="0.25">
      <c r="K754" s="50">
        <v>44367</v>
      </c>
      <c r="U754" s="79"/>
    </row>
    <row r="755" spans="11:21" x14ac:dyDescent="0.25">
      <c r="K755" s="50">
        <v>44368</v>
      </c>
      <c r="U755" s="79"/>
    </row>
    <row r="756" spans="11:21" x14ac:dyDescent="0.25">
      <c r="K756" s="50">
        <v>44369</v>
      </c>
      <c r="U756" s="79"/>
    </row>
    <row r="757" spans="11:21" x14ac:dyDescent="0.25">
      <c r="K757" s="50">
        <v>44370</v>
      </c>
      <c r="U757" s="79"/>
    </row>
    <row r="758" spans="11:21" x14ac:dyDescent="0.25">
      <c r="K758" s="50">
        <v>44371</v>
      </c>
      <c r="U758" s="79"/>
    </row>
    <row r="759" spans="11:21" x14ac:dyDescent="0.25">
      <c r="K759" s="50">
        <v>44372</v>
      </c>
      <c r="U759" s="79"/>
    </row>
    <row r="760" spans="11:21" x14ac:dyDescent="0.25">
      <c r="K760" s="50">
        <v>44373</v>
      </c>
      <c r="U760" s="79"/>
    </row>
    <row r="761" spans="11:21" x14ac:dyDescent="0.25">
      <c r="K761" s="50">
        <v>44374</v>
      </c>
      <c r="U761" s="79"/>
    </row>
    <row r="762" spans="11:21" x14ac:dyDescent="0.25">
      <c r="K762" s="50">
        <v>44375</v>
      </c>
      <c r="U762" s="79"/>
    </row>
    <row r="763" spans="11:21" x14ac:dyDescent="0.25">
      <c r="K763" s="50">
        <v>44376</v>
      </c>
      <c r="U763" s="79"/>
    </row>
    <row r="764" spans="11:21" x14ac:dyDescent="0.25">
      <c r="K764" s="50">
        <v>44377</v>
      </c>
    </row>
    <row r="765" spans="11:21" x14ac:dyDescent="0.25">
      <c r="K765" s="50">
        <v>44378</v>
      </c>
    </row>
    <row r="766" spans="11:21" x14ac:dyDescent="0.25">
      <c r="K766" s="50">
        <v>44379</v>
      </c>
    </row>
    <row r="767" spans="11:21" x14ac:dyDescent="0.25">
      <c r="K767" s="50">
        <v>44380</v>
      </c>
    </row>
    <row r="768" spans="11:21" x14ac:dyDescent="0.25">
      <c r="K768" s="50">
        <v>44381</v>
      </c>
    </row>
    <row r="769" spans="11:11" x14ac:dyDescent="0.25">
      <c r="K769" s="50">
        <v>44382</v>
      </c>
    </row>
    <row r="770" spans="11:11" x14ac:dyDescent="0.25">
      <c r="K770" s="50">
        <v>44383</v>
      </c>
    </row>
    <row r="771" spans="11:11" x14ac:dyDescent="0.25">
      <c r="K771" s="50">
        <v>44384</v>
      </c>
    </row>
    <row r="772" spans="11:11" x14ac:dyDescent="0.25">
      <c r="K772" s="50">
        <v>44385</v>
      </c>
    </row>
    <row r="773" spans="11:11" x14ac:dyDescent="0.25">
      <c r="K773" s="50">
        <v>44386</v>
      </c>
    </row>
    <row r="774" spans="11:11" x14ac:dyDescent="0.25">
      <c r="K774" s="50">
        <v>44387</v>
      </c>
    </row>
    <row r="775" spans="11:11" x14ac:dyDescent="0.25">
      <c r="K775" s="50">
        <v>44388</v>
      </c>
    </row>
    <row r="776" spans="11:11" x14ac:dyDescent="0.25">
      <c r="K776" s="50">
        <v>44389</v>
      </c>
    </row>
    <row r="777" spans="11:11" x14ac:dyDescent="0.25">
      <c r="K777" s="50">
        <v>44390</v>
      </c>
    </row>
    <row r="778" spans="11:11" x14ac:dyDescent="0.25">
      <c r="K778" s="50">
        <v>44391</v>
      </c>
    </row>
    <row r="779" spans="11:11" x14ac:dyDescent="0.25">
      <c r="K779" s="50">
        <v>44392</v>
      </c>
    </row>
    <row r="780" spans="11:11" x14ac:dyDescent="0.25">
      <c r="K780" s="50">
        <v>44393</v>
      </c>
    </row>
    <row r="781" spans="11:11" x14ac:dyDescent="0.25">
      <c r="K781" s="50">
        <v>44394</v>
      </c>
    </row>
    <row r="782" spans="11:11" x14ac:dyDescent="0.25">
      <c r="K782" s="50">
        <v>44395</v>
      </c>
    </row>
    <row r="783" spans="11:11" x14ac:dyDescent="0.25">
      <c r="K783" s="50">
        <v>44396</v>
      </c>
    </row>
    <row r="784" spans="11:11" x14ac:dyDescent="0.25">
      <c r="K784" s="50">
        <v>44397</v>
      </c>
    </row>
    <row r="785" spans="11:11" x14ac:dyDescent="0.25">
      <c r="K785" s="50">
        <v>44398</v>
      </c>
    </row>
    <row r="786" spans="11:11" x14ac:dyDescent="0.25">
      <c r="K786" s="50">
        <v>44399</v>
      </c>
    </row>
    <row r="787" spans="11:11" x14ac:dyDescent="0.25">
      <c r="K787" s="50">
        <v>44400</v>
      </c>
    </row>
    <row r="788" spans="11:11" x14ac:dyDescent="0.25">
      <c r="K788" s="50">
        <v>44401</v>
      </c>
    </row>
    <row r="789" spans="11:11" x14ac:dyDescent="0.25">
      <c r="K789" s="50">
        <v>44402</v>
      </c>
    </row>
    <row r="790" spans="11:11" x14ac:dyDescent="0.25">
      <c r="K790" s="50">
        <v>44403</v>
      </c>
    </row>
    <row r="791" spans="11:11" x14ac:dyDescent="0.25">
      <c r="K791" s="50">
        <v>44404</v>
      </c>
    </row>
    <row r="792" spans="11:11" x14ac:dyDescent="0.25">
      <c r="K792" s="50">
        <v>44405</v>
      </c>
    </row>
    <row r="793" spans="11:11" x14ac:dyDescent="0.25">
      <c r="K793" s="50">
        <v>44406</v>
      </c>
    </row>
    <row r="794" spans="11:11" x14ac:dyDescent="0.25">
      <c r="K794" s="50">
        <v>44407</v>
      </c>
    </row>
    <row r="795" spans="11:11" x14ac:dyDescent="0.25">
      <c r="K795" s="50">
        <v>44408</v>
      </c>
    </row>
    <row r="796" spans="11:11" x14ac:dyDescent="0.25">
      <c r="K796" s="50">
        <v>44409</v>
      </c>
    </row>
    <row r="797" spans="11:11" x14ac:dyDescent="0.25">
      <c r="K797" s="50">
        <v>44410</v>
      </c>
    </row>
    <row r="798" spans="11:11" x14ac:dyDescent="0.25">
      <c r="K798" s="50">
        <v>44411</v>
      </c>
    </row>
    <row r="799" spans="11:11" x14ac:dyDescent="0.25">
      <c r="K799" s="50">
        <v>44412</v>
      </c>
    </row>
    <row r="800" spans="11:11" x14ac:dyDescent="0.25">
      <c r="K800" s="50">
        <v>44413</v>
      </c>
    </row>
    <row r="801" spans="11:11" x14ac:dyDescent="0.25">
      <c r="K801" s="50">
        <v>44414</v>
      </c>
    </row>
    <row r="802" spans="11:11" x14ac:dyDescent="0.25">
      <c r="K802" s="50">
        <v>44415</v>
      </c>
    </row>
    <row r="803" spans="11:11" x14ac:dyDescent="0.25">
      <c r="K803" s="50">
        <v>44416</v>
      </c>
    </row>
    <row r="804" spans="11:11" x14ac:dyDescent="0.25">
      <c r="K804" s="50">
        <v>44417</v>
      </c>
    </row>
    <row r="805" spans="11:11" x14ac:dyDescent="0.25">
      <c r="K805" s="50">
        <v>44418</v>
      </c>
    </row>
    <row r="806" spans="11:11" x14ac:dyDescent="0.25">
      <c r="K806" s="50">
        <v>44419</v>
      </c>
    </row>
    <row r="807" spans="11:11" x14ac:dyDescent="0.25">
      <c r="K807" s="50">
        <v>44420</v>
      </c>
    </row>
    <row r="808" spans="11:11" x14ac:dyDescent="0.25">
      <c r="K808" s="50">
        <v>44421</v>
      </c>
    </row>
    <row r="809" spans="11:11" x14ac:dyDescent="0.25">
      <c r="K809" s="50">
        <v>44422</v>
      </c>
    </row>
    <row r="810" spans="11:11" x14ac:dyDescent="0.25">
      <c r="K810" s="50">
        <v>44423</v>
      </c>
    </row>
    <row r="811" spans="11:11" x14ac:dyDescent="0.25">
      <c r="K811" s="50">
        <v>44424</v>
      </c>
    </row>
    <row r="812" spans="11:11" x14ac:dyDescent="0.25">
      <c r="K812" s="50">
        <v>44425</v>
      </c>
    </row>
    <row r="813" spans="11:11" x14ac:dyDescent="0.25">
      <c r="K813" s="50">
        <v>44426</v>
      </c>
    </row>
    <row r="814" spans="11:11" x14ac:dyDescent="0.25">
      <c r="K814" s="50">
        <v>44427</v>
      </c>
    </row>
    <row r="815" spans="11:11" x14ac:dyDescent="0.25">
      <c r="K815" s="50">
        <v>44428</v>
      </c>
    </row>
    <row r="816" spans="11:11" x14ac:dyDescent="0.25">
      <c r="K816" s="50">
        <v>44429</v>
      </c>
    </row>
    <row r="817" spans="11:11" x14ac:dyDescent="0.25">
      <c r="K817" s="50">
        <v>44430</v>
      </c>
    </row>
    <row r="818" spans="11:11" x14ac:dyDescent="0.25">
      <c r="K818" s="50">
        <v>44431</v>
      </c>
    </row>
    <row r="819" spans="11:11" x14ac:dyDescent="0.25">
      <c r="K819" s="50">
        <v>44432</v>
      </c>
    </row>
    <row r="820" spans="11:11" x14ac:dyDescent="0.25">
      <c r="K820" s="50">
        <v>44433</v>
      </c>
    </row>
    <row r="821" spans="11:11" x14ac:dyDescent="0.25">
      <c r="K821" s="50">
        <v>44434</v>
      </c>
    </row>
    <row r="822" spans="11:11" x14ac:dyDescent="0.25">
      <c r="K822" s="50">
        <v>44435</v>
      </c>
    </row>
    <row r="823" spans="11:11" x14ac:dyDescent="0.25">
      <c r="K823" s="50">
        <v>44436</v>
      </c>
    </row>
    <row r="824" spans="11:11" x14ac:dyDescent="0.25">
      <c r="K824" s="50">
        <v>44437</v>
      </c>
    </row>
    <row r="825" spans="11:11" x14ac:dyDescent="0.25">
      <c r="K825" s="50">
        <v>44438</v>
      </c>
    </row>
    <row r="826" spans="11:11" x14ac:dyDescent="0.25">
      <c r="K826" s="50">
        <v>44439</v>
      </c>
    </row>
    <row r="827" spans="11:11" x14ac:dyDescent="0.25">
      <c r="K827" s="50">
        <v>44440</v>
      </c>
    </row>
    <row r="828" spans="11:11" x14ac:dyDescent="0.25">
      <c r="K828" s="50">
        <v>44441</v>
      </c>
    </row>
    <row r="829" spans="11:11" x14ac:dyDescent="0.25">
      <c r="K829" s="50">
        <v>44442</v>
      </c>
    </row>
    <row r="830" spans="11:11" x14ac:dyDescent="0.25">
      <c r="K830" s="50">
        <v>44443</v>
      </c>
    </row>
    <row r="831" spans="11:11" x14ac:dyDescent="0.25">
      <c r="K831" s="50">
        <v>44444</v>
      </c>
    </row>
    <row r="832" spans="11:11" x14ac:dyDescent="0.25">
      <c r="K832" s="50">
        <v>44445</v>
      </c>
    </row>
    <row r="833" spans="11:11" x14ac:dyDescent="0.25">
      <c r="K833" s="50">
        <v>44446</v>
      </c>
    </row>
    <row r="834" spans="11:11" x14ac:dyDescent="0.25">
      <c r="K834" s="50">
        <v>44447</v>
      </c>
    </row>
    <row r="835" spans="11:11" x14ac:dyDescent="0.25">
      <c r="K835" s="50">
        <v>44448</v>
      </c>
    </row>
    <row r="836" spans="11:11" x14ac:dyDescent="0.25">
      <c r="K836" s="50">
        <v>44449</v>
      </c>
    </row>
    <row r="837" spans="11:11" x14ac:dyDescent="0.25">
      <c r="K837" s="50">
        <v>44450</v>
      </c>
    </row>
    <row r="838" spans="11:11" x14ac:dyDescent="0.25">
      <c r="K838" s="50">
        <v>44451</v>
      </c>
    </row>
    <row r="839" spans="11:11" x14ac:dyDescent="0.25">
      <c r="K839" s="50">
        <v>44452</v>
      </c>
    </row>
    <row r="840" spans="11:11" x14ac:dyDescent="0.25">
      <c r="K840" s="50">
        <v>44453</v>
      </c>
    </row>
    <row r="841" spans="11:11" x14ac:dyDescent="0.25">
      <c r="K841" s="50">
        <v>44454</v>
      </c>
    </row>
    <row r="842" spans="11:11" x14ac:dyDescent="0.25">
      <c r="K842" s="50">
        <v>44455</v>
      </c>
    </row>
    <row r="843" spans="11:11" x14ac:dyDescent="0.25">
      <c r="K843" s="50">
        <v>44456</v>
      </c>
    </row>
    <row r="844" spans="11:11" x14ac:dyDescent="0.25">
      <c r="K844" s="50">
        <v>44457</v>
      </c>
    </row>
    <row r="845" spans="11:11" x14ac:dyDescent="0.25">
      <c r="K845" s="50">
        <v>44458</v>
      </c>
    </row>
    <row r="846" spans="11:11" x14ac:dyDescent="0.25">
      <c r="K846" s="50">
        <v>44459</v>
      </c>
    </row>
    <row r="847" spans="11:11" x14ac:dyDescent="0.25">
      <c r="K847" s="50">
        <v>44460</v>
      </c>
    </row>
    <row r="848" spans="11:11" x14ac:dyDescent="0.25">
      <c r="K848" s="50">
        <v>44461</v>
      </c>
    </row>
    <row r="849" spans="11:11" x14ac:dyDescent="0.25">
      <c r="K849" s="50">
        <v>44462</v>
      </c>
    </row>
    <row r="850" spans="11:11" x14ac:dyDescent="0.25">
      <c r="K850" s="50">
        <v>44463</v>
      </c>
    </row>
    <row r="851" spans="11:11" x14ac:dyDescent="0.25">
      <c r="K851" s="50">
        <v>44464</v>
      </c>
    </row>
    <row r="852" spans="11:11" x14ac:dyDescent="0.25">
      <c r="K852" s="50">
        <v>44465</v>
      </c>
    </row>
    <row r="853" spans="11:11" x14ac:dyDescent="0.25">
      <c r="K853" s="50">
        <v>44466</v>
      </c>
    </row>
    <row r="854" spans="11:11" x14ac:dyDescent="0.25">
      <c r="K854" s="50">
        <v>44467</v>
      </c>
    </row>
    <row r="855" spans="11:11" x14ac:dyDescent="0.25">
      <c r="K855" s="50">
        <v>44468</v>
      </c>
    </row>
    <row r="856" spans="11:11" x14ac:dyDescent="0.25">
      <c r="K856" s="50">
        <v>44469</v>
      </c>
    </row>
    <row r="857" spans="11:11" x14ac:dyDescent="0.25">
      <c r="K857" s="50">
        <v>44470</v>
      </c>
    </row>
    <row r="858" spans="11:11" x14ac:dyDescent="0.25">
      <c r="K858" s="50">
        <v>44471</v>
      </c>
    </row>
    <row r="859" spans="11:11" x14ac:dyDescent="0.25">
      <c r="K859" s="50">
        <v>44472</v>
      </c>
    </row>
    <row r="860" spans="11:11" x14ac:dyDescent="0.25">
      <c r="K860" s="50">
        <v>44473</v>
      </c>
    </row>
    <row r="861" spans="11:11" x14ac:dyDescent="0.25">
      <c r="K861" s="50">
        <v>44474</v>
      </c>
    </row>
    <row r="862" spans="11:11" x14ac:dyDescent="0.25">
      <c r="K862" s="50">
        <v>44475</v>
      </c>
    </row>
    <row r="863" spans="11:11" x14ac:dyDescent="0.25">
      <c r="K863" s="50">
        <v>44476</v>
      </c>
    </row>
    <row r="864" spans="11:11" x14ac:dyDescent="0.25">
      <c r="K864" s="50">
        <v>44477</v>
      </c>
    </row>
    <row r="865" spans="11:11" x14ac:dyDescent="0.25">
      <c r="K865" s="50">
        <v>44478</v>
      </c>
    </row>
    <row r="866" spans="11:11" x14ac:dyDescent="0.25">
      <c r="K866" s="50">
        <v>44479</v>
      </c>
    </row>
    <row r="867" spans="11:11" x14ac:dyDescent="0.25">
      <c r="K867" s="50">
        <v>44480</v>
      </c>
    </row>
    <row r="868" spans="11:11" x14ac:dyDescent="0.25">
      <c r="K868" s="50">
        <v>44481</v>
      </c>
    </row>
    <row r="869" spans="11:11" x14ac:dyDescent="0.25">
      <c r="K869" s="50">
        <v>44482</v>
      </c>
    </row>
    <row r="870" spans="11:11" x14ac:dyDescent="0.25">
      <c r="K870" s="50">
        <v>44483</v>
      </c>
    </row>
    <row r="871" spans="11:11" x14ac:dyDescent="0.25">
      <c r="K871" s="50">
        <v>44484</v>
      </c>
    </row>
    <row r="872" spans="11:11" x14ac:dyDescent="0.25">
      <c r="K872" s="50">
        <v>44485</v>
      </c>
    </row>
    <row r="873" spans="11:11" x14ac:dyDescent="0.25">
      <c r="K873" s="50">
        <v>44486</v>
      </c>
    </row>
    <row r="874" spans="11:11" x14ac:dyDescent="0.25">
      <c r="K874" s="50">
        <v>44487</v>
      </c>
    </row>
    <row r="875" spans="11:11" x14ac:dyDescent="0.25">
      <c r="K875" s="50">
        <v>44488</v>
      </c>
    </row>
    <row r="876" spans="11:11" x14ac:dyDescent="0.25">
      <c r="K876" s="50">
        <v>44489</v>
      </c>
    </row>
    <row r="877" spans="11:11" x14ac:dyDescent="0.25">
      <c r="K877" s="50">
        <v>44490</v>
      </c>
    </row>
    <row r="878" spans="11:11" x14ac:dyDescent="0.25">
      <c r="K878" s="50">
        <v>44491</v>
      </c>
    </row>
    <row r="879" spans="11:11" x14ac:dyDescent="0.25">
      <c r="K879" s="50">
        <v>44492</v>
      </c>
    </row>
    <row r="880" spans="11:11" x14ac:dyDescent="0.25">
      <c r="K880" s="50">
        <v>44493</v>
      </c>
    </row>
    <row r="881" spans="11:11" x14ac:dyDescent="0.25">
      <c r="K881" s="50">
        <v>44494</v>
      </c>
    </row>
    <row r="882" spans="11:11" x14ac:dyDescent="0.25">
      <c r="K882" s="50">
        <v>44495</v>
      </c>
    </row>
    <row r="883" spans="11:11" x14ac:dyDescent="0.25">
      <c r="K883" s="50">
        <v>44496</v>
      </c>
    </row>
    <row r="884" spans="11:11" x14ac:dyDescent="0.25">
      <c r="K884" s="50">
        <v>44497</v>
      </c>
    </row>
    <row r="885" spans="11:11" x14ac:dyDescent="0.25">
      <c r="K885" s="50">
        <v>44498</v>
      </c>
    </row>
    <row r="886" spans="11:11" x14ac:dyDescent="0.25">
      <c r="K886" s="50">
        <v>44499</v>
      </c>
    </row>
    <row r="887" spans="11:11" x14ac:dyDescent="0.25">
      <c r="K887" s="50">
        <v>44500</v>
      </c>
    </row>
    <row r="888" spans="11:11" x14ac:dyDescent="0.25">
      <c r="K888" s="50">
        <v>44501</v>
      </c>
    </row>
    <row r="889" spans="11:11" x14ac:dyDescent="0.25">
      <c r="K889" s="50">
        <v>44502</v>
      </c>
    </row>
    <row r="890" spans="11:11" x14ac:dyDescent="0.25">
      <c r="K890" s="50">
        <v>44503</v>
      </c>
    </row>
    <row r="891" spans="11:11" x14ac:dyDescent="0.25">
      <c r="K891" s="50">
        <v>44504</v>
      </c>
    </row>
    <row r="892" spans="11:11" x14ac:dyDescent="0.25">
      <c r="K892" s="50">
        <v>44505</v>
      </c>
    </row>
    <row r="893" spans="11:11" x14ac:dyDescent="0.25">
      <c r="K893" s="50">
        <v>44506</v>
      </c>
    </row>
    <row r="894" spans="11:11" x14ac:dyDescent="0.25">
      <c r="K894" s="50">
        <v>44507</v>
      </c>
    </row>
    <row r="895" spans="11:11" x14ac:dyDescent="0.25">
      <c r="K895" s="50">
        <v>44508</v>
      </c>
    </row>
    <row r="896" spans="11:11" x14ac:dyDescent="0.25">
      <c r="K896" s="50">
        <v>44509</v>
      </c>
    </row>
    <row r="897" spans="11:11" x14ac:dyDescent="0.25">
      <c r="K897" s="50">
        <v>44510</v>
      </c>
    </row>
    <row r="898" spans="11:11" x14ac:dyDescent="0.25">
      <c r="K898" s="50">
        <v>44511</v>
      </c>
    </row>
    <row r="899" spans="11:11" x14ac:dyDescent="0.25">
      <c r="K899" s="50">
        <v>44512</v>
      </c>
    </row>
    <row r="900" spans="11:11" x14ac:dyDescent="0.25">
      <c r="K900" s="50">
        <v>44513</v>
      </c>
    </row>
    <row r="901" spans="11:11" x14ac:dyDescent="0.25">
      <c r="K901" s="50">
        <v>44514</v>
      </c>
    </row>
    <row r="902" spans="11:11" x14ac:dyDescent="0.25">
      <c r="K902" s="50">
        <v>44515</v>
      </c>
    </row>
    <row r="903" spans="11:11" x14ac:dyDescent="0.25">
      <c r="K903" s="50">
        <v>44516</v>
      </c>
    </row>
    <row r="904" spans="11:11" x14ac:dyDescent="0.25">
      <c r="K904" s="50">
        <v>44517</v>
      </c>
    </row>
    <row r="905" spans="11:11" x14ac:dyDescent="0.25">
      <c r="K905" s="50">
        <v>44518</v>
      </c>
    </row>
    <row r="906" spans="11:11" x14ac:dyDescent="0.25">
      <c r="K906" s="50">
        <v>44519</v>
      </c>
    </row>
    <row r="907" spans="11:11" x14ac:dyDescent="0.25">
      <c r="K907" s="50">
        <v>44520</v>
      </c>
    </row>
    <row r="908" spans="11:11" x14ac:dyDescent="0.25">
      <c r="K908" s="50">
        <v>44521</v>
      </c>
    </row>
    <row r="909" spans="11:11" x14ac:dyDescent="0.25">
      <c r="K909" s="50">
        <v>44522</v>
      </c>
    </row>
    <row r="910" spans="11:11" x14ac:dyDescent="0.25">
      <c r="K910" s="50">
        <v>44523</v>
      </c>
    </row>
    <row r="911" spans="11:11" x14ac:dyDescent="0.25">
      <c r="K911" s="50">
        <v>44524</v>
      </c>
    </row>
    <row r="912" spans="11:11" x14ac:dyDescent="0.25">
      <c r="K912" s="50">
        <v>44525</v>
      </c>
    </row>
    <row r="913" spans="11:11" x14ac:dyDescent="0.25">
      <c r="K913" s="50">
        <v>44526</v>
      </c>
    </row>
    <row r="914" spans="11:11" x14ac:dyDescent="0.25">
      <c r="K914" s="50">
        <v>44527</v>
      </c>
    </row>
    <row r="915" spans="11:11" x14ac:dyDescent="0.25">
      <c r="K915" s="50">
        <v>44528</v>
      </c>
    </row>
    <row r="916" spans="11:11" x14ac:dyDescent="0.25">
      <c r="K916" s="50">
        <v>44529</v>
      </c>
    </row>
    <row r="917" spans="11:11" x14ac:dyDescent="0.25">
      <c r="K917" s="50">
        <v>44530</v>
      </c>
    </row>
    <row r="918" spans="11:11" x14ac:dyDescent="0.25">
      <c r="K918" s="50">
        <v>44531</v>
      </c>
    </row>
    <row r="919" spans="11:11" x14ac:dyDescent="0.25">
      <c r="K919" s="50">
        <v>44532</v>
      </c>
    </row>
    <row r="920" spans="11:11" x14ac:dyDescent="0.25">
      <c r="K920" s="50">
        <v>44533</v>
      </c>
    </row>
    <row r="921" spans="11:11" x14ac:dyDescent="0.25">
      <c r="K921" s="50">
        <v>44534</v>
      </c>
    </row>
    <row r="922" spans="11:11" x14ac:dyDescent="0.25">
      <c r="K922" s="50">
        <v>44535</v>
      </c>
    </row>
    <row r="923" spans="11:11" x14ac:dyDescent="0.25">
      <c r="K923" s="50">
        <v>44536</v>
      </c>
    </row>
    <row r="924" spans="11:11" x14ac:dyDescent="0.25">
      <c r="K924" s="50">
        <v>44537</v>
      </c>
    </row>
  </sheetData>
  <sheetProtection algorithmName="SHA-512" hashValue="QAEn3vxfT+ravFdgXYciorgfzZbGddPDb9ZoURPrtsQzGovFTHLwIpoDL73hGrwDW27YvyS+FNoT3tKsWN7vgg==" saltValue="0zJYEMpUNcO0DEynMDpF8w==" spinCount="100000" sheet="1" selectLockedCells="1" selectUnlockedCells="1"/>
  <dataValidations count="1">
    <dataValidation type="list" allowBlank="1" showInputMessage="1" showErrorMessage="1" sqref="E15">
      <formula1>"30-11-2021,31-12-2021"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14"/>
  <sheetViews>
    <sheetView workbookViewId="0">
      <selection activeCell="A3" sqref="A3"/>
    </sheetView>
  </sheetViews>
  <sheetFormatPr defaultColWidth="9.140625" defaultRowHeight="15" x14ac:dyDescent="0.25"/>
  <cols>
    <col min="1" max="1" width="11" style="47" customWidth="1"/>
    <col min="2" max="2" width="10.28515625" style="47" customWidth="1"/>
    <col min="3" max="16384" width="9.140625" style="47"/>
  </cols>
  <sheetData>
    <row r="1" spans="1:4" x14ac:dyDescent="0.25">
      <c r="A1" s="46" t="s">
        <v>60</v>
      </c>
      <c r="B1" s="46"/>
      <c r="C1" s="46"/>
      <c r="D1" s="46"/>
    </row>
    <row r="2" spans="1:4" x14ac:dyDescent="0.25">
      <c r="A2" s="46" t="s">
        <v>37</v>
      </c>
      <c r="B2" s="46" t="s">
        <v>38</v>
      </c>
      <c r="C2" s="46" t="s">
        <v>39</v>
      </c>
      <c r="D2" s="46"/>
    </row>
    <row r="3" spans="1:4" x14ac:dyDescent="0.25">
      <c r="A3" s="57">
        <v>0.3</v>
      </c>
      <c r="B3" s="47">
        <v>1</v>
      </c>
      <c r="C3" s="57">
        <v>0.4</v>
      </c>
      <c r="D3" s="57"/>
    </row>
    <row r="4" spans="1:4" x14ac:dyDescent="0.25">
      <c r="A4" s="57">
        <v>0.35</v>
      </c>
      <c r="B4" s="47">
        <v>2</v>
      </c>
      <c r="C4" s="57">
        <v>0.45</v>
      </c>
      <c r="D4" s="57"/>
    </row>
    <row r="5" spans="1:4" x14ac:dyDescent="0.25">
      <c r="A5" s="57">
        <v>0.4</v>
      </c>
      <c r="B5" s="47">
        <v>3</v>
      </c>
      <c r="C5" s="57">
        <v>0.5</v>
      </c>
      <c r="D5" s="57"/>
    </row>
    <row r="6" spans="1:4" x14ac:dyDescent="0.25">
      <c r="A6" s="57">
        <v>0.45</v>
      </c>
      <c r="B6" s="47">
        <v>4</v>
      </c>
      <c r="C6" s="57">
        <v>0.55000000000000004</v>
      </c>
      <c r="D6" s="57"/>
    </row>
    <row r="7" spans="1:4" x14ac:dyDescent="0.25">
      <c r="A7" s="57">
        <v>0.5</v>
      </c>
      <c r="B7" s="47">
        <v>5</v>
      </c>
      <c r="C7" s="57">
        <v>0.6</v>
      </c>
      <c r="D7" s="57"/>
    </row>
    <row r="8" spans="1:4" x14ac:dyDescent="0.25">
      <c r="A8" s="57">
        <v>0.55000000000000004</v>
      </c>
      <c r="B8" s="47">
        <v>6</v>
      </c>
      <c r="C8" s="57">
        <v>0.65</v>
      </c>
      <c r="D8" s="57"/>
    </row>
    <row r="9" spans="1:4" x14ac:dyDescent="0.25">
      <c r="A9" s="57">
        <v>0.6</v>
      </c>
      <c r="B9" s="47">
        <v>7</v>
      </c>
      <c r="C9" s="57">
        <v>0.7</v>
      </c>
      <c r="D9" s="57"/>
    </row>
    <row r="10" spans="1:4" x14ac:dyDescent="0.25">
      <c r="A10" s="57">
        <v>0.65</v>
      </c>
      <c r="B10" s="47">
        <v>8</v>
      </c>
      <c r="C10" s="57">
        <v>0.75</v>
      </c>
      <c r="D10" s="57"/>
    </row>
    <row r="11" spans="1:4" x14ac:dyDescent="0.25">
      <c r="A11" s="57">
        <v>0.7</v>
      </c>
      <c r="B11" s="47">
        <v>9</v>
      </c>
      <c r="C11" s="57">
        <v>0.8</v>
      </c>
    </row>
    <row r="12" spans="1:4" x14ac:dyDescent="0.25">
      <c r="A12" s="57">
        <v>0.75</v>
      </c>
      <c r="B12" s="47">
        <v>10</v>
      </c>
      <c r="C12" s="57">
        <v>0.85</v>
      </c>
    </row>
    <row r="13" spans="1:4" x14ac:dyDescent="0.25">
      <c r="A13" s="57">
        <v>0.8</v>
      </c>
      <c r="B13" s="47">
        <v>11</v>
      </c>
      <c r="C13" s="57">
        <v>0.9</v>
      </c>
    </row>
    <row r="14" spans="1:4" x14ac:dyDescent="0.25">
      <c r="A14" s="57">
        <v>1</v>
      </c>
      <c r="B14" s="47" t="s">
        <v>112</v>
      </c>
      <c r="C14" s="57">
        <v>1</v>
      </c>
    </row>
  </sheetData>
  <sheetProtection algorithmName="SHA-512" hashValue="EU7CMc0h0z+ANwqePPk9dk3hOMeIVGjEIAFl2Qa7ebyRcVta47bkRdKdnSqSwLpXm0wBmupDCT6hWApw4beFWw==" saltValue="rPN8nvYOeamVK5dM5nKYZA=="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25</vt:i4>
      </vt:variant>
    </vt:vector>
  </HeadingPairs>
  <TitlesOfParts>
    <vt:vector size="28" baseType="lpstr">
      <vt:lpstr>Afrapportering</vt:lpstr>
      <vt:lpstr>Lister</vt:lpstr>
      <vt:lpstr>Trappemodel</vt:lpstr>
      <vt:lpstr>b_faste_start</vt:lpstr>
      <vt:lpstr>c_oms_slut</vt:lpstr>
      <vt:lpstr>c_oms_start</vt:lpstr>
      <vt:lpstr>d_faste_start</vt:lpstr>
      <vt:lpstr>d_oms_start</vt:lpstr>
      <vt:lpstr>e_faste_start</vt:lpstr>
      <vt:lpstr>FastholdeUdbetaling</vt:lpstr>
      <vt:lpstr>JaNej</vt:lpstr>
      <vt:lpstr>KompPeriodeSlut</vt:lpstr>
      <vt:lpstr>KompPeriodeStart</vt:lpstr>
      <vt:lpstr>matrix_indirekte_faste_ref</vt:lpstr>
      <vt:lpstr>matrix_komp.perioder</vt:lpstr>
      <vt:lpstr>Matrix_Ref.Rea.FasteOmkostninger</vt:lpstr>
      <vt:lpstr>Matrix_Ref.Rea.Omsætning</vt:lpstr>
      <vt:lpstr>Matrix_UnderskudFør</vt:lpstr>
      <vt:lpstr>Mulige_komp.perioder</vt:lpstr>
      <vt:lpstr>NegativtResultat</vt:lpstr>
      <vt:lpstr>OpgørelseAfSenesteResultat</vt:lpstr>
      <vt:lpstr>PeriodeNegativtResultat</vt:lpstr>
      <vt:lpstr>ReferenceperiodeRealiseretOmsætning</vt:lpstr>
      <vt:lpstr>Refperiode_Fasteomkostninger</vt:lpstr>
      <vt:lpstr>Trappemodel1</vt:lpstr>
      <vt:lpstr>Trappemodel1forbud</vt:lpstr>
      <vt:lpstr>ÅbningsforbudFørsteDag</vt:lpstr>
      <vt:lpstr>ÅbningsforbudSidsteDag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Rebecca Harboe</cp:lastModifiedBy>
  <cp:lastPrinted>2022-01-11T13:02:46Z</cp:lastPrinted>
  <dcterms:created xsi:type="dcterms:W3CDTF">2020-08-10T09:06:01Z</dcterms:created>
  <dcterms:modified xsi:type="dcterms:W3CDTF">2022-11-11T12:21:34Z</dcterms:modified>
</cp:coreProperties>
</file>